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9. Financial indiacators" sheetId="3" r:id="rId6"/>
    <sheet state="visible" name="2.Capex Details" sheetId="4" r:id="rId7"/>
    <sheet state="visible" name="3.Other Exp &amp; Taxes" sheetId="5" r:id="rId8"/>
    <sheet state="visible" name="4.TL repayment sch" sheetId="6" r:id="rId9"/>
    <sheet state="visible" name="5.Closing Stock &amp; W Capital" sheetId="7" r:id="rId10"/>
    <sheet state="visible" name="6.Cons Profit &amp; Loss" sheetId="8" r:id="rId11"/>
    <sheet state="visible" name="7.Balance Sheet" sheetId="9" r:id="rId12"/>
    <sheet state="visible" name="8.Cash Flow "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 state="visible" name="Sheet1" sheetId="19" r:id="rId22"/>
    <sheet state="visible" name="Sheet2" sheetId="20" r:id="rId23"/>
  </sheets>
  <externalReferences>
    <externalReference r:id="rId24"/>
  </externalReferences>
  <definedNames/>
  <calcPr/>
</workbook>
</file>

<file path=xl/sharedStrings.xml><?xml version="1.0" encoding="utf-8"?>
<sst xmlns="http://schemas.openxmlformats.org/spreadsheetml/2006/main" count="1524" uniqueCount="797">
  <si>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</si>
  <si>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</si>
  <si>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</si>
  <si>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</si>
  <si>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</si>
  <si>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r>
      <rPr>
        <rFont val="Calibri"/>
        <color/>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</si>
  <si>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</si>
  <si>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</si>
  <si>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</si>
  <si>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</si>
  <si>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</si>
  <si>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</si>
  <si>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</si>
  <si>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</si>
  <si>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</si>
  <si>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</si>
  <si>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</si>
  <si>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</si>
  <si>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</si>
  <si>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</si>
  <si>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</si>
  <si>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</si>
  <si>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</si>
  <si>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</si>
  <si>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</si>
  <si>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</si>
  <si>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</si>
  <si>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</si>
  <si>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</si>
  <si>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</si>
  <si>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</si>
  <si>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</si>
  <si>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</si>
  <si>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</si>
  <si>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</si>
  <si>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</si>
  <si>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</si>
  <si>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</si>
  <si>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</si>
  <si>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</si>
  <si>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</si>
  <si>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</si>
  <si>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</si>
  <si>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</si>
  <si>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</si>
  <si>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</si>
  <si>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</si>
  <si>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</si>
  <si>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</si>
  <si>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</si>
  <si>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</si>
  <si>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</si>
  <si>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</si>
  <si>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</si>
  <si>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</si>
  <si>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</si>
  <si>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</si>
  <si>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</si>
  <si>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</si>
  <si>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</si>
  <si>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</si>
  <si>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</si>
  <si>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</si>
  <si>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</si>
  <si>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</si>
  <si>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</si>
  <si>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</si>
  <si>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</si>
  <si>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</si>
  <si>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</si>
  <si>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</si>
  <si>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</si>
  <si>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</si>
  <si>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</si>
  <si>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</si>
  <si>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</si>
  <si>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</si>
  <si>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</si>
  <si>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</si>
  <si>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</si>
  <si>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</si>
  <si>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</si>
  <si>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</si>
  <si>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</si>
  <si>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</si>
  <si>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</si>
  <si>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</si>
  <si>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</si>
  <si>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</si>
  <si>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</si>
  <si>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</si>
  <si>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</si>
  <si>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</si>
  <si>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</si>
  <si>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</si>
  <si>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PARTICULAR</t>
  </si>
  <si>
    <t>AMOUNT</t>
  </si>
  <si>
    <t>DEPRECIATION</t>
  </si>
  <si>
    <t>110000-5000/5</t>
  </si>
  <si>
    <t>RENT</t>
  </si>
  <si>
    <t>200 PM</t>
  </si>
  <si>
    <t>This sheet provide details of how total project cost will raised</t>
  </si>
  <si>
    <t>GENERAL LIGHTING</t>
  </si>
  <si>
    <t>3600*1/4</t>
  </si>
  <si>
    <t>INSURANCE</t>
  </si>
  <si>
    <t>1.3 Financial Indicators</t>
  </si>
  <si>
    <t>REPAIRS</t>
  </si>
  <si>
    <t>Financial ratio</t>
  </si>
  <si>
    <t>Estimated</t>
  </si>
  <si>
    <t>Result</t>
  </si>
  <si>
    <t>Permissible limit</t>
  </si>
  <si>
    <t>POWER</t>
  </si>
  <si>
    <t>(2200*10)</t>
  </si>
  <si>
    <t>Break Even Point (BEP)</t>
  </si>
  <si>
    <t>Project Viable</t>
  </si>
  <si>
    <t xml:space="preserve">BEP shall be less than 60% </t>
  </si>
  <si>
    <t>40-60</t>
  </si>
  <si>
    <t>Supervisor</t>
  </si>
  <si>
    <t>Avg. Return on Capital Employed Average (ROCE)</t>
  </si>
  <si>
    <t xml:space="preserve">RoCE  for the project shall be more than 12% </t>
  </si>
  <si>
    <t>12-18</t>
  </si>
  <si>
    <t>Internal Rate of Return (IRR)</t>
  </si>
  <si>
    <t xml:space="preserve">The project internal rate of return shall be more than 10% </t>
  </si>
  <si>
    <t>10-15</t>
  </si>
  <si>
    <t>Total No. Of Hour</t>
  </si>
  <si>
    <t>Net present value (at a discount rate of 10 per cent)</t>
  </si>
  <si>
    <t>NPV is high and positive at a conservative project life of 7 years</t>
  </si>
  <si>
    <t xml:space="preserve">With a discount rate of 10% and a span of 7 operational years, the NPV should be positive </t>
  </si>
  <si>
    <t>Payback period</t>
  </si>
  <si>
    <t xml:space="preserve">The Pack Back Period (Project/ Equity) shall be less than 7 years </t>
  </si>
  <si>
    <t>5-7</t>
  </si>
  <si>
    <t>Debt Service Coverage Ratio (DSCR)</t>
  </si>
  <si>
    <t>DSCR shall be between 1.5 To 2.5 for better performing project.</t>
  </si>
  <si>
    <t>1.5-2.5</t>
  </si>
  <si>
    <t>9.1 Internal Rate of Return</t>
  </si>
  <si>
    <t xml:space="preserve">Particular </t>
  </si>
  <si>
    <t>Y0</t>
  </si>
  <si>
    <t>Y1</t>
  </si>
  <si>
    <t>Y2</t>
  </si>
  <si>
    <t>Y3</t>
  </si>
  <si>
    <t>Y4</t>
  </si>
  <si>
    <t>Y5</t>
  </si>
  <si>
    <t>Y6</t>
  </si>
  <si>
    <t>Y7</t>
  </si>
  <si>
    <t>Profit after Tax &amp; Dividend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</si>
  <si>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</si>
  <si>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</si>
  <si>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</si>
  <si>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</si>
  <si>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</si>
  <si>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</si>
  <si>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</si>
  <si>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</si>
  <si>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</si>
  <si>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</si>
  <si>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</si>
  <si>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Particulars</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</si>
  <si>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</si>
  <si>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</si>
  <si>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</si>
  <si>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</si>
  <si>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</si>
  <si>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</si>
  <si>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</si>
  <si>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</si>
  <si>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</si>
  <si>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</si>
  <si>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</si>
  <si>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</si>
  <si>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</si>
  <si>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</si>
  <si>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</si>
  <si>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</si>
  <si>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</si>
  <si>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</si>
  <si>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</si>
  <si>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</si>
  <si>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</si>
  <si>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</si>
  <si>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</si>
  <si>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</si>
  <si>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</si>
  <si>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</si>
  <si>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</si>
  <si>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</si>
  <si>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</si>
  <si>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</si>
  <si>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</si>
  <si>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</si>
  <si>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</si>
  <si>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</si>
  <si>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</si>
  <si>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</si>
  <si>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</si>
  <si>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</si>
  <si>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</si>
  <si>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</si>
  <si>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</si>
  <si>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Variable Cost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</si>
  <si>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</si>
  <si>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</si>
  <si>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</si>
  <si>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</si>
  <si>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</si>
  <si>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</si>
  <si>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Land and Building</t>
  </si>
  <si>
    <t>Unit</t>
  </si>
  <si>
    <t>No. of Unit</t>
  </si>
  <si>
    <t>Rate per unit</t>
  </si>
  <si>
    <t>Land</t>
  </si>
  <si>
    <t>Sq. ft.</t>
  </si>
  <si>
    <t>Lease</t>
  </si>
  <si>
    <t>WAREHOUSE</t>
  </si>
  <si>
    <t>MT</t>
  </si>
  <si>
    <t>SHED CONSTRUCTION</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</si>
  <si>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</si>
  <si>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</si>
  <si>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</si>
  <si>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</si>
  <si>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</si>
  <si>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</si>
  <si>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</si>
  <si>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</si>
  <si>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</si>
  <si>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</si>
  <si>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DAL MILL 1 TPH</t>
  </si>
  <si>
    <t>0.75 TPH</t>
  </si>
  <si>
    <t>DAL PACKING MACHINE - 50GM TO 2KG</t>
  </si>
  <si>
    <t>MULTIGRAIN COLOUR SORTER</t>
  </si>
  <si>
    <t>DP AND TRANSFORMER</t>
  </si>
  <si>
    <t>C</t>
  </si>
  <si>
    <t>Cleaning &amp; Grading</t>
  </si>
  <si>
    <t>FULLY AUTOMATIC 2 TPH MACHINE</t>
  </si>
  <si>
    <t>2TPH</t>
  </si>
  <si>
    <t>WEIGHBRIDGE</t>
  </si>
  <si>
    <t>60 TONNE</t>
  </si>
  <si>
    <t>SOLAR</t>
  </si>
  <si>
    <t>8KV</t>
  </si>
  <si>
    <t>HAND PALLET TRUCK</t>
  </si>
  <si>
    <t>D</t>
  </si>
  <si>
    <t>F &amp; V Processing Machainary</t>
  </si>
  <si>
    <t>This Sheet provide details of Plant &amp; Machinary, including Capacity, rate per machaine, Power Consuption and total amount</t>
  </si>
  <si>
    <t>Furniture and Fixture</t>
  </si>
  <si>
    <t>MISC FURNITURE</t>
  </si>
  <si>
    <t>This Sheet provide details of furniture and fixture, no.of Quantity, rate per unit and total amount</t>
  </si>
  <si>
    <t>IT &amp; It Infrastracture</t>
  </si>
  <si>
    <t>MISC .IT EQUIPMENTS</t>
  </si>
  <si>
    <t>Transport vehical  (Refer van and other)</t>
  </si>
  <si>
    <t>This Sheet provide details of vehicles, no.of vehicle, rate per vehicle and total amount</t>
  </si>
  <si>
    <t>Preliminary Expenses</t>
  </si>
  <si>
    <t>Amount  (Rs.)</t>
  </si>
  <si>
    <t>Civil Estimation Prepartion</t>
  </si>
  <si>
    <t>DPR Prepartion</t>
  </si>
  <si>
    <t>Lease Deed</t>
  </si>
  <si>
    <t>Other Expenses and DP</t>
  </si>
  <si>
    <t>Preliminary expenses are considered as prior expenses before the beginning of business or Projects</t>
  </si>
  <si>
    <t>3.1 Schedule of General Admin Expenses</t>
  </si>
  <si>
    <t>No.of Unit</t>
  </si>
  <si>
    <t>Unit Cost</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</si>
  <si>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</si>
  <si>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</si>
  <si>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</si>
  <si>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</si>
  <si>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</si>
  <si>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</si>
  <si>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</si>
  <si>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</si>
  <si>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</si>
  <si>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</si>
  <si>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</si>
  <si>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</si>
  <si>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</si>
  <si>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</si>
  <si>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</si>
  <si>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</si>
  <si>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</si>
  <si>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</si>
  <si>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</si>
  <si>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</si>
  <si>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</si>
  <si>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</si>
  <si>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</si>
  <si>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</si>
  <si>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</si>
  <si>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</si>
  <si>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</si>
  <si>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</si>
  <si>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</si>
  <si>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</si>
  <si>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</si>
  <si>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</si>
  <si>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</si>
  <si>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</si>
  <si>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</si>
  <si>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</si>
  <si>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</si>
  <si>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</si>
  <si>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</si>
  <si>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</si>
  <si>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</si>
  <si>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</si>
  <si>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</si>
  <si>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</si>
  <si>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</si>
  <si>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</si>
  <si>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</si>
  <si>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</si>
  <si>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</si>
  <si>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</si>
  <si>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</si>
  <si>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</si>
  <si>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</si>
  <si>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</si>
  <si>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</si>
  <si>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</si>
  <si>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</si>
  <si>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</si>
  <si>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</si>
  <si>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</si>
  <si>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</si>
  <si>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</si>
  <si>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</si>
  <si>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</si>
  <si>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</si>
  <si>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</si>
  <si>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</si>
  <si>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</si>
  <si>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</si>
  <si>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</si>
  <si>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</si>
  <si>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</si>
  <si>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</si>
  <si>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</si>
  <si>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</si>
  <si>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</si>
  <si>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</si>
  <si>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</si>
  <si>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</si>
  <si>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</si>
  <si>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</si>
  <si>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</si>
  <si>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</si>
  <si>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</si>
  <si>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</si>
  <si>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</si>
  <si>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</si>
  <si>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</si>
  <si>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</si>
  <si>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</si>
  <si>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</si>
  <si>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</si>
  <si>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</si>
  <si>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</si>
  <si>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</si>
  <si>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</si>
  <si>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</si>
  <si>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</si>
  <si>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</si>
  <si>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</si>
  <si>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</si>
  <si>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</si>
  <si>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</si>
  <si>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</si>
  <si>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</si>
  <si>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</si>
  <si>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</si>
  <si>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</si>
  <si>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</si>
  <si>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</si>
  <si>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</si>
  <si>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</si>
  <si>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</si>
  <si>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</si>
  <si>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</si>
  <si>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</si>
  <si>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</si>
  <si>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</si>
  <si>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</si>
  <si>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</si>
  <si>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</si>
  <si>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</si>
  <si>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</si>
  <si>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</si>
  <si>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</si>
  <si>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</si>
  <si>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</si>
  <si>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</si>
  <si>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</si>
  <si>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</si>
  <si>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</si>
  <si>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</si>
  <si>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</si>
  <si>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</si>
  <si>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</si>
  <si>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</si>
  <si>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</si>
  <si>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</si>
  <si>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</si>
  <si>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</si>
  <si>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</si>
  <si>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</si>
  <si>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</si>
  <si>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</si>
  <si>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</si>
  <si>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</si>
  <si>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</si>
  <si>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</si>
  <si>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</si>
  <si>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</si>
  <si>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</si>
  <si>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</si>
  <si>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</si>
  <si>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</si>
  <si>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</si>
  <si>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10%</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</si>
  <si>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</si>
  <si>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</si>
  <si>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</si>
  <si>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</si>
  <si>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</si>
  <si>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</si>
  <si>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</si>
  <si>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</si>
  <si>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</si>
  <si>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</si>
  <si>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</si>
  <si>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</si>
  <si>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</si>
  <si>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</si>
  <si>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</si>
  <si>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</si>
  <si>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</si>
  <si>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</si>
  <si>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</si>
  <si>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2%</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</si>
  <si>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</si>
  <si>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</si>
  <si>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</si>
  <si>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</si>
  <si>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</si>
  <si>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</si>
  <si>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</si>
  <si>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</si>
  <si>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</si>
  <si>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</si>
  <si>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</si>
  <si>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</si>
  <si>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</si>
  <si>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</si>
  <si>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</si>
  <si>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 Dal Mill</t>
  </si>
  <si>
    <t>Faclitiy 3 - Warehouse</t>
  </si>
  <si>
    <t xml:space="preserve">Faclitiy 4 - Custom Hiring </t>
  </si>
  <si>
    <t>Faclitiy 5 - Agri Input Centre</t>
  </si>
  <si>
    <t>Facility 6 - Processing Unit - Horti Commodity</t>
  </si>
  <si>
    <t>Total Revenue</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</si>
  <si>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</si>
  <si>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</si>
  <si>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</si>
  <si>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</si>
  <si>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</si>
  <si>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</si>
  <si>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</si>
  <si>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</si>
  <si>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</si>
  <si>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</si>
  <si>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</si>
  <si>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</si>
  <si>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</si>
  <si>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</si>
  <si>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</si>
  <si>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</si>
  <si>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</si>
  <si>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</si>
  <si>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</si>
  <si>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</si>
  <si>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</si>
  <si>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</si>
  <si>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</si>
  <si>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</si>
  <si>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</si>
  <si>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</si>
  <si>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</si>
  <si>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</si>
  <si>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</si>
  <si>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</si>
  <si>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</si>
  <si>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</si>
  <si>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</si>
  <si>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</si>
  <si>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</si>
  <si>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</si>
  <si>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</si>
  <si>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</si>
  <si>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</si>
  <si>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</si>
  <si>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</si>
  <si>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</si>
  <si>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</si>
  <si>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</si>
  <si>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</si>
  <si>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</si>
  <si>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</si>
  <si>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</si>
  <si>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</si>
  <si>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</si>
  <si>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</si>
  <si>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</si>
  <si>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</si>
  <si>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</si>
  <si>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</si>
  <si>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</si>
  <si>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</si>
  <si>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</si>
  <si>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</si>
  <si>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</si>
  <si>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</si>
  <si>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</si>
  <si>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</si>
  <si>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</si>
  <si>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</si>
  <si>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</si>
  <si>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</si>
  <si>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</si>
  <si>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</si>
  <si>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</si>
  <si>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</si>
  <si>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</si>
  <si>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</si>
  <si>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</si>
  <si>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</si>
  <si>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</si>
  <si>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</si>
  <si>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</si>
  <si>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</si>
  <si>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</si>
  <si>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</si>
  <si>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</si>
  <si>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</si>
  <si>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</si>
  <si>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</si>
  <si>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</si>
  <si>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</si>
  <si>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</si>
  <si>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</si>
  <si>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</si>
  <si>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</si>
  <si>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</si>
  <si>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</si>
  <si>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</si>
  <si>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</si>
  <si>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</si>
  <si>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</si>
  <si>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</si>
  <si>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</si>
  <si>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</si>
  <si>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</si>
  <si>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</si>
  <si>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</si>
  <si>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</si>
  <si>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</si>
  <si>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</si>
  <si>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</si>
  <si>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</si>
  <si>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</si>
  <si>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</si>
  <si>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</si>
  <si>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</si>
  <si>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</si>
  <si>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</si>
  <si>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</si>
  <si>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</si>
  <si>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</si>
  <si>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</si>
  <si>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</si>
  <si>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</si>
  <si>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</si>
  <si>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</si>
  <si>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</si>
  <si>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</si>
  <si>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</si>
  <si>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</si>
  <si>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</si>
  <si>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</si>
  <si>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</si>
  <si>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</si>
  <si>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</si>
  <si>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</si>
  <si>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</si>
  <si>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</si>
  <si>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</si>
  <si>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</si>
  <si>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</si>
  <si>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</si>
  <si>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</si>
  <si>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</si>
  <si>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</si>
  <si>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</si>
  <si>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</si>
  <si>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</si>
  <si>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</si>
  <si>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</si>
  <si>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</si>
  <si>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</si>
  <si>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</si>
  <si>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</si>
  <si>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</si>
  <si>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</si>
  <si>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</si>
  <si>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</si>
  <si>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</si>
  <si>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</si>
  <si>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</si>
  <si>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</si>
  <si>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</si>
  <si>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</si>
  <si>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</si>
  <si>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</si>
  <si>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</si>
  <si>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Cleaning, Grading And Trading</t>
  </si>
  <si>
    <t>Quintals</t>
  </si>
  <si>
    <t>Job Work Charges</t>
  </si>
  <si>
    <t>Expenses</t>
  </si>
  <si>
    <t>Daily Lobour</t>
  </si>
  <si>
    <t>Electricity Charges</t>
  </si>
  <si>
    <t>Packing  Bags/30 Kg</t>
  </si>
  <si>
    <t>Transporation Cost/30 Kg</t>
  </si>
  <si>
    <t>Add: Opening Stock</t>
  </si>
  <si>
    <t>Less: Closing Stock</t>
  </si>
  <si>
    <t>Machine Operator</t>
  </si>
  <si>
    <t>Hand Pallet Operator</t>
  </si>
  <si>
    <t>Repair and Maintenance</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</si>
  <si>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</si>
  <si>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</si>
  <si>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</si>
  <si>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</si>
  <si>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</si>
  <si>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</si>
  <si>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</si>
  <si>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-Dal Mill</t>
  </si>
  <si>
    <t>13.1 Producers/ Capacity Utilization</t>
  </si>
  <si>
    <t>Qtls P Hour</t>
  </si>
  <si>
    <t>No. of Operation Days</t>
  </si>
  <si>
    <t>Total Quantity to be Processed</t>
  </si>
  <si>
    <t xml:space="preserve">Quanity for Processing </t>
  </si>
  <si>
    <t>Quantity for processing (50%)</t>
  </si>
  <si>
    <t>Output (KG)</t>
  </si>
  <si>
    <t>Husk and Powder</t>
  </si>
  <si>
    <t>Dal (80%)</t>
  </si>
  <si>
    <t>Packaging (In Kg)</t>
  </si>
  <si>
    <t>13.2 Facility 2 - Profit and loss of Grain Processing Unit  - Dal Mill</t>
  </si>
  <si>
    <t>30 Kg</t>
  </si>
  <si>
    <t>Kg</t>
  </si>
  <si>
    <t>Oil (Liters)</t>
  </si>
  <si>
    <t xml:space="preserve">Daily Labour </t>
  </si>
  <si>
    <t>Loading/Unloading Charges</t>
  </si>
  <si>
    <t>packaging Exp</t>
  </si>
  <si>
    <t>Transportation Charges</t>
  </si>
  <si>
    <t>Total expenses</t>
  </si>
  <si>
    <t>Facility 3 - Warehouse</t>
  </si>
  <si>
    <t>14.1 Capacity Utilization</t>
  </si>
  <si>
    <t>No.of Month</t>
  </si>
  <si>
    <t>Capacity Utilisation</t>
  </si>
  <si>
    <t>Total Quantity Stored per Annum</t>
  </si>
  <si>
    <t>14.2 Facility 3 - Profit and loss of Warehouse</t>
  </si>
  <si>
    <t>Vegetable</t>
  </si>
  <si>
    <t>Storage Charges per MT per Month</t>
  </si>
  <si>
    <t>Dunnage</t>
  </si>
  <si>
    <t>Fumigation</t>
  </si>
  <si>
    <t xml:space="preserve">Electricity </t>
  </si>
  <si>
    <t>Insurance</t>
  </si>
  <si>
    <t>Warehouse Manager</t>
  </si>
  <si>
    <t>Opperating profit</t>
  </si>
  <si>
    <t>This sheet provide details capacity utilization of machines and also sale, expenses and operating profit of Dal Mill activity</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</si>
  <si>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</si>
  <si>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</si>
  <si>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</si>
  <si>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</si>
  <si>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</si>
  <si>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</si>
  <si>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</si>
  <si>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</si>
  <si>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</si>
  <si>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</si>
  <si>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</si>
  <si>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</si>
  <si>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</si>
  <si>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</si>
  <si>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TRACTOR</t>
  </si>
  <si>
    <t>TRALEY</t>
  </si>
  <si>
    <t>PERANI YANTR</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</si>
  <si>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</si>
  <si>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</si>
  <si>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</si>
  <si>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</si>
  <si>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</si>
  <si>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</si>
  <si>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</si>
  <si>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</si>
  <si>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</si>
  <si>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</si>
  <si>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</si>
  <si>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</si>
  <si>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</si>
  <si>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</si>
  <si>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</si>
  <si>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</si>
  <si>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</si>
  <si>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</si>
  <si>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</si>
  <si>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</si>
  <si>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</si>
  <si>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</si>
  <si>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</si>
  <si>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</si>
  <si>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</si>
  <si>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</si>
  <si>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</si>
  <si>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</si>
  <si>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</si>
  <si>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</si>
  <si>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</si>
  <si>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</si>
  <si>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</si>
  <si>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</si>
  <si>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</si>
  <si>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</si>
  <si>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Quanity for Processing and Trading for PC</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</si>
  <si>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</si>
  <si>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</si>
  <si>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</si>
  <si>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</si>
  <si>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</si>
  <si>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</si>
  <si>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</si>
  <si>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</si>
  <si>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</si>
  <si>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</si>
  <si>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</si>
  <si>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No</t>
  </si>
  <si>
    <t>Details of proposed</t>
  </si>
  <si>
    <t>capacity</t>
  </si>
  <si>
    <t>Total amount</t>
  </si>
  <si>
    <t>business/activities</t>
  </si>
  <si>
    <t>/Unit</t>
  </si>
  <si>
    <t>(Rs.)</t>
  </si>
  <si>
    <t>Business/Activity No.  1 – Cleaning and Grading</t>
  </si>
  <si>
    <t>A1</t>
  </si>
  <si>
    <t>Building and Construction</t>
  </si>
  <si>
    <t>Construction of Warehouse</t>
  </si>
  <si>
    <t>1000 MT</t>
  </si>
  <si>
    <t>Shed For Machinery</t>
  </si>
  <si>
    <t>300SQ MT</t>
  </si>
  <si>
    <t>A2</t>
  </si>
  <si>
    <t>Machinery and equipment</t>
  </si>
  <si>
    <t>1.5 TONN</t>
  </si>
  <si>
    <t>FURNITURE</t>
  </si>
  <si>
    <t>MISC.</t>
  </si>
  <si>
    <t>IT INFRASTRUCTURE</t>
  </si>
  <si>
    <t>MISC</t>
  </si>
  <si>
    <t>DAL MILL</t>
  </si>
  <si>
    <t>1TPH</t>
  </si>
  <si>
    <t>PACKING MACHINE</t>
  </si>
  <si>
    <t>A3</t>
  </si>
  <si>
    <t>Other</t>
  </si>
  <si>
    <t>Total (A)</t>
  </si>
  <si>
    <t>Business/Activity No.  1</t>
  </si>
  <si>
    <t>Total (B)</t>
  </si>
  <si>
    <t>Total (A+B)</t>
  </si>
  <si>
    <t>Stage : Planned</t>
  </si>
  <si>
    <t>Review by PCMU/ PIUs</t>
  </si>
  <si>
    <t>Ref No.</t>
  </si>
  <si>
    <t>/ Actual</t>
  </si>
  <si>
    <t>Estimated Cost (Rs. In.)</t>
  </si>
  <si>
    <t>(Prior/ Post)</t>
  </si>
  <si>
    <t>Expected Bid- Opening Date)</t>
  </si>
  <si>
    <t>Actual Contract Date ( format ) (i.e.1-Dec-14)</t>
  </si>
  <si>
    <t>Actual Contract Amount (Rs.)</t>
  </si>
  <si>
    <t>Contract (Description)</t>
  </si>
  <si>
    <t>/ Revised</t>
  </si>
  <si>
    <t>No of Contracts</t>
  </si>
  <si>
    <t>Procurement Method</t>
  </si>
  <si>
    <t>Comments</t>
  </si>
  <si>
    <t>Works</t>
  </si>
  <si>
    <t>Planned</t>
  </si>
  <si>
    <t>Open National Bid (E-tender)</t>
  </si>
  <si>
    <t>Prior</t>
  </si>
  <si>
    <r>
      <rPr>
        <rFont val="Times New Roman"/>
        <color rgb="FFFF0000"/>
        <sz val="10.0"/>
      </rPr>
      <t>1</t>
    </r>
    <r>
      <rPr>
        <rFont val="Times New Roman"/>
        <color rgb="FFFF0000"/>
        <sz val="6.0"/>
      </rPr>
      <t xml:space="preserve">st </t>
    </r>
    <r>
      <rPr>
        <rFont val="Times New Roman"/>
        <color rgb="FFFF0000"/>
        <sz val="10.0"/>
      </rPr>
      <t>Apr 23</t>
    </r>
  </si>
  <si>
    <t>Bid Date will vary</t>
  </si>
  <si>
    <t>Contruction Of Warehouse</t>
  </si>
  <si>
    <t xml:space="preserve"> Planned</t>
  </si>
  <si>
    <t>Goods &amp; Equipment</t>
  </si>
  <si>
    <t>Request for Quotation Advertisement</t>
  </si>
  <si>
    <r>
      <rPr>
        <rFont val="Times New Roman"/>
        <color rgb="FFFF0000"/>
        <sz val="10.0"/>
      </rPr>
      <t>1</t>
    </r>
    <r>
      <rPr>
        <rFont val="Times New Roman"/>
        <color rgb="FFFF0000"/>
        <sz val="6.0"/>
      </rPr>
      <t xml:space="preserve">st </t>
    </r>
    <r>
      <rPr>
        <rFont val="Times New Roman"/>
        <color rgb="FFFF0000"/>
        <sz val="10.0"/>
      </rPr>
      <t>Oct 23</t>
    </r>
  </si>
  <si>
    <t>in news paper</t>
  </si>
  <si>
    <t>Amount and Bid Date will vary</t>
  </si>
  <si>
    <t>Machinery and Equipments</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</si>
</sst>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_(* #,##0_);_(* \(#,##0\);_(* &quot;-&quot;??_);_(@_)"/>
    <numFmt numFmtId="165" formatCode="_-* #,##0_-;\-* #,##0_-;_-* &quot;-&quot;??_-;_-@"/>
    <numFmt numFmtId="166" formatCode="_(* #,##0.00_);_(* \(#,##0.00\);_(* &quot;-&quot;??_);_(@_)"/>
    <numFmt numFmtId="167" formatCode="_ * #,##0.00_ ;_ * \-#,##0.00_ ;_ * &quot;-&quot;??_ ;_ @_ "/>
    <numFmt numFmtId="168" formatCode="_ * #,##0_ ;_ * \-#,##0_ ;_ * &quot;-&quot;??_ ;_ @_ "/>
    <numFmt numFmtId="169" formatCode="_ * #,##0.0_ ;_ * \-#,##0.0_ ;_ * &quot;-&quot;??_ ;_ @_ "/>
    <numFmt numFmtId="170" formatCode="_-* #,##0.00_-;\-* #,##0.00_-;_-* &quot;-&quot;??_-;_-@"/>
    <numFmt numFmtId="171" formatCode="#,##0_ ;[Red]\-#,##0\ "/>
    <numFmt numFmtId="172" formatCode="#,##0.00_ ;[Red]\-#,##0.00\ "/>
    <numFmt numFmtId="173" formatCode="&quot;Rs.&quot;\ #,##0.00;[Red]&quot;Rs.&quot;\ \-#,##0.00"/>
    <numFmt numFmtId="174" formatCode="0.0"/>
    <numFmt numFmtId="175" formatCode="0.0%"/>
  </numFmts>
  <fonts count="71">
    <font>
      <sz val="11.0"/>
      <color/>
      <name val="Arial"/>
      <scheme val="minor"/>
    </font>
    <font>
      <b/>
      <sz val="24.0"/>
      <color/>
      <name val="Calibri"/>
    </font>
    <font/>
    <font>
      <sz val="11.0"/>
      <color/>
      <name val="Calibri"/>
    </font>
    <font>
      <b/>
      <u/>
      <sz val="18.0"/>
      <color/>
      <name val="Calibri"/>
    </font>
    <font>
      <b/>
      <sz val="18.0"/>
      <color/>
      <name val="Calibri"/>
    </font>
    <font>
      <b/>
      <sz val="11.0"/>
      <color/>
      <name val="Calibri"/>
    </font>
    <font>
      <b/>
      <sz val="11.0"/>
      <color rgb="FFC00000"/>
      <name val="Calibri"/>
    </font>
    <font>
      <b/>
      <sz val="16.0"/>
      <color/>
      <name val="Calibri"/>
    </font>
    <font>
      <b/>
      <sz val="14.0"/>
      <color/>
      <name val="Times New Roman"/>
    </font>
    <font>
      <b/>
      <sz val="10.0"/>
      <color rgb="FFFFFFFF"/>
      <name val="Times New Roman"/>
    </font>
    <font>
      <sz val="10.0"/>
      <color rgb="FF000000"/>
      <name val="Times New Roman"/>
    </font>
    <font>
      <sz val="10.0"/>
      <color/>
      <name val="Calibri"/>
    </font>
    <font>
      <b/>
      <sz val="10.0"/>
      <color rgb="FF000000"/>
      <name val="Times New Roman"/>
    </font>
    <font>
      <b/>
      <sz val="8.0"/>
      <name val="Inherit"/>
    </font>
    <font>
      <sz val="11.0"/>
      <name val="Calibri"/>
    </font>
    <font>
      <sz val="11.0"/>
      <color rgb="FF000000"/>
      <name val="Garamond"/>
    </font>
    <font>
      <b/>
      <sz val="14.0"/>
      <color rgb="FF000000"/>
      <name val="Times New Roman"/>
    </font>
    <font>
      <sz val="13.0"/>
      <color rgb="FF000000"/>
      <name val="Times New Roman"/>
    </font>
    <font>
      <sz val="11.0"/>
      <color/>
      <name val="Times New Roman"/>
    </font>
    <font>
      <sz val="12.0"/>
      <color/>
      <name val="Times New Roman"/>
    </font>
    <font>
      <sz val="12.0"/>
      <color rgb="FFFF0000"/>
      <name val="Times New Roman"/>
    </font>
    <font>
      <sz val="11.0"/>
      <color rgb="FF000000"/>
      <name val="Times New Roman"/>
    </font>
    <font>
      <b/>
      <sz val="11.0"/>
      <color rgb="FF000000"/>
      <name val="Times New Roman"/>
    </font>
    <font>
      <sz val="11.0"/>
      <name val="Times New Roman"/>
    </font>
    <font>
      <b/>
      <u/>
      <sz val="11.0"/>
      <color rgb="FF0000FF"/>
      <name val="Garamond"/>
    </font>
    <font>
      <b/>
      <sz val="11.0"/>
      <color/>
      <name val="Times New Roman"/>
    </font>
    <font>
      <b/>
      <sz val="11.0"/>
      <color rgb="FF202122"/>
      <name val="Garamond"/>
    </font>
    <font>
      <sz val="13.0"/>
      <name val="Times New Roman"/>
    </font>
    <font>
      <b/>
      <sz val="11.0"/>
      <color rgb="FF202124"/>
      <name val="Garamond"/>
    </font>
    <font>
      <b/>
      <sz val="12.0"/>
      <color/>
      <name val="Times New Roman"/>
    </font>
    <font>
      <sz val="12.0"/>
      <color rgb="FF000000"/>
      <name val="Times New Roman"/>
    </font>
    <font>
      <sz val="12.0"/>
      <name val="Times New Roman"/>
    </font>
    <font>
      <b/>
      <sz val="11.0"/>
      <color rgb="FF111111"/>
      <name val="Garamond"/>
    </font>
    <font>
      <b/>
      <sz val="11.0"/>
      <color rgb="FFFFFFFF"/>
      <name val="Times New Roman"/>
    </font>
    <font>
      <sz val="11.0"/>
      <color rgb="FFFF0000"/>
      <name val="Times New Roman"/>
    </font>
    <font>
      <b/>
      <sz val="11.0"/>
      <color rgb="FFFFFFFF"/>
      <name val="Garamond"/>
    </font>
    <font>
      <sz val="11.0"/>
      <color rgb="FFFF0000"/>
      <name val="Garamond"/>
    </font>
    <font>
      <b/>
      <sz val="11.0"/>
      <color rgb="FF000000"/>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sz val="9.0"/>
      <color/>
      <name val="Times New Roman"/>
    </font>
    <font>
      <b/>
      <sz val="9.0"/>
      <color/>
      <name val="Times New Roman"/>
    </font>
    <font>
      <sz val="9.0"/>
      <color/>
      <name val="Calibri"/>
    </font>
    <font>
      <b/>
      <sz val="10.0"/>
      <color/>
      <name val="Times New Roman"/>
    </font>
    <font>
      <sz val="10.0"/>
      <color/>
      <name val="Times New Roman"/>
    </font>
    <font>
      <b/>
      <sz val="8.0"/>
      <color/>
      <name val="Times New Roman"/>
    </font>
    <font>
      <b/>
      <sz val="13.0"/>
      <color/>
      <name val="Times New Roman"/>
    </font>
    <font>
      <b/>
      <sz val="10.0"/>
      <color rgb="FFFF0000"/>
      <name val="Times New Roman"/>
    </font>
    <font>
      <sz val="10.0"/>
      <color rgb="FFFF0000"/>
      <name val="Times New Roman"/>
    </font>
    <font>
      <b/>
      <sz val="11.0"/>
      <color rgb="FFFF0000"/>
      <name val="Times New Roman"/>
    </font>
    <font>
      <b/>
      <sz val="9.0"/>
      <color rgb="FFFF0000"/>
      <name val="Times New Roman"/>
    </font>
    <font>
      <b/>
      <sz val="7.0"/>
      <color rgb="FFFF0000"/>
      <name val="Times New Roman"/>
    </font>
    <font>
      <b/>
      <sz val="10.0"/>
      <color rgb="FFFF0000"/>
      <name val="Calibri"/>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52">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right/>
      <top/>
      <bottom/>
    </border>
    <border>
      <left style="thin">
        <color rgb="FF000000"/>
      </left>
      <right/>
      <top/>
      <bottom/>
    </border>
    <border>
      <left style="thin">
        <color rgb="FF000000"/>
      </left>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left/>
      <top/>
      <bottom style="thin">
        <color rgb="FF000000"/>
      </bottom>
    </border>
    <border>
      <top/>
      <bottom style="thin">
        <color rgb="FF000000"/>
      </bottom>
    </border>
    <border>
      <left style="thin">
        <color rgb="FF000000"/>
      </left>
      <right style="thin">
        <color rgb="FF000000"/>
      </right>
      <top/>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medium">
        <color rgb="FF000000"/>
      </right>
      <top style="medium">
        <color rgb="FF000000"/>
      </top>
    </border>
    <border>
      <left/>
      <right style="medium">
        <color rgb="FF000000"/>
      </right>
      <top style="medium">
        <color rgb="FF000000"/>
      </top>
      <bottom/>
    </border>
    <border>
      <left style="medium">
        <color rgb="FF000000"/>
      </left>
      <right style="medium">
        <color rgb="FF000000"/>
      </right>
      <bottom style="medium">
        <color rgb="FF000000"/>
      </bottom>
    </border>
    <border>
      <top style="medium">
        <color rgb="FF000000"/>
      </top>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medium">
        <color rgb="FF000000"/>
      </right>
      <top/>
      <bottom/>
    </border>
    <border>
      <left/>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right style="medium">
        <color rgb="FF000000"/>
      </right>
    </border>
    <border>
      <left style="medium">
        <color rgb="FF000000"/>
      </left>
      <right style="medium">
        <color rgb="FF000000"/>
      </right>
    </border>
  </borders>
  <cellStyleXfs count="1">
    <xf borderId="0" fillId="0" fontId="0" numFmtId="0" applyAlignment="1" applyFont="1"/>
  </cellStyleXfs>
  <cellXfs count="466">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3" numFmtId="0" xfId="0" applyAlignment="1" applyFont="1">
      <alignment shrinkToFit="0" vertical="center" wrapText="1"/>
    </xf>
    <xf borderId="2" fillId="2" fontId="4"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5"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3"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3" numFmtId="0" xfId="0" applyAlignment="1" applyBorder="1" applyFill="1" applyFont="1">
      <alignment shrinkToFit="0" vertical="center" wrapText="1"/>
    </xf>
    <xf borderId="3" fillId="0" fontId="3"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3" numFmtId="0" xfId="0" applyAlignment="1" applyBorder="1" applyFont="1">
      <alignment shrinkToFit="0" vertical="center" wrapText="1"/>
    </xf>
    <xf borderId="7" fillId="0" fontId="3" numFmtId="0" xfId="0" applyAlignment="1" applyBorder="1" applyFont="1">
      <alignment shrinkToFit="0" vertical="center" wrapText="1"/>
    </xf>
    <xf borderId="8" fillId="0" fontId="3"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6" numFmtId="0" xfId="0" applyAlignment="1" applyBorder="1" applyFont="1">
      <alignment shrinkToFit="0" vertical="center" wrapText="1"/>
    </xf>
    <xf borderId="6" fillId="0" fontId="3" numFmtId="0" xfId="0" applyAlignment="1" applyBorder="1" applyFont="1">
      <alignment horizontal="center" shrinkToFit="0" vertical="center" wrapText="1"/>
    </xf>
    <xf borderId="0" fillId="0" fontId="8" numFmtId="0" xfId="0" applyAlignment="1" applyFont="1">
      <alignment horizontal="left" shrinkToFit="0" vertical="center" wrapText="1"/>
    </xf>
    <xf borderId="0" fillId="0" fontId="9" numFmtId="0" xfId="0" applyAlignment="1" applyFont="1">
      <alignment horizontal="center"/>
    </xf>
    <xf borderId="6" fillId="8" fontId="10" numFmtId="0" xfId="0" applyAlignment="1" applyBorder="1" applyFill="1" applyFont="1">
      <alignment horizontal="center" shrinkToFit="0" vertical="center" wrapText="1"/>
    </xf>
    <xf borderId="11" fillId="8" fontId="10" numFmtId="0" xfId="0" applyAlignment="1" applyBorder="1" applyFont="1">
      <alignment horizontal="center" shrinkToFit="0" vertical="center" wrapText="1"/>
    </xf>
    <xf borderId="6" fillId="0" fontId="11" numFmtId="0" xfId="0" applyAlignment="1" applyBorder="1" applyFont="1">
      <alignment horizontal="right" shrinkToFit="0" vertical="center" wrapText="1"/>
    </xf>
    <xf borderId="6" fillId="0" fontId="11" numFmtId="0" xfId="0" applyAlignment="1" applyBorder="1" applyFont="1">
      <alignment shrinkToFit="0" vertical="center" wrapText="1"/>
    </xf>
    <xf borderId="6" fillId="0" fontId="11" numFmtId="164" xfId="0" applyAlignment="1" applyBorder="1" applyFont="1" applyNumberFormat="1">
      <alignment shrinkToFit="0" vertical="center" wrapText="1"/>
    </xf>
    <xf borderId="6" fillId="0" fontId="12" numFmtId="9" xfId="0" applyBorder="1" applyFont="1" applyNumberFormat="1"/>
    <xf borderId="6" fillId="0" fontId="12" numFmtId="164" xfId="0" applyBorder="1" applyFont="1" applyNumberFormat="1"/>
    <xf borderId="6" fillId="0" fontId="12" numFmtId="0" xfId="0" applyBorder="1" applyFont="1"/>
    <xf borderId="0" fillId="0" fontId="3" numFmtId="164" xfId="0" applyFont="1" applyNumberFormat="1"/>
    <xf borderId="2" fillId="0" fontId="13" numFmtId="0" xfId="0" applyAlignment="1" applyBorder="1" applyFont="1">
      <alignment horizontal="center" shrinkToFit="0" vertical="center" wrapText="1"/>
    </xf>
    <xf borderId="6" fillId="0" fontId="13" numFmtId="164" xfId="0" applyAlignment="1" applyBorder="1" applyFont="1" applyNumberFormat="1">
      <alignment horizontal="center" shrinkToFit="0" vertical="center" wrapText="1"/>
    </xf>
    <xf borderId="0" fillId="0" fontId="3" numFmtId="165" xfId="0" applyFont="1" applyNumberFormat="1"/>
    <xf borderId="0" fillId="0" fontId="14" numFmtId="0" xfId="0" applyAlignment="1" applyFont="1">
      <alignment horizontal="center" shrinkToFit="0" wrapText="1"/>
    </xf>
    <xf borderId="6" fillId="8" fontId="10" numFmtId="0" xfId="0" applyAlignment="1" applyBorder="1" applyFont="1">
      <alignment shrinkToFit="0" vertical="center" wrapText="1"/>
    </xf>
    <xf borderId="6" fillId="0" fontId="11" numFmtId="9" xfId="0" applyAlignment="1" applyBorder="1" applyFont="1" applyNumberFormat="1">
      <alignment horizontal="right" shrinkToFit="0" vertical="center" wrapText="1"/>
    </xf>
    <xf borderId="6" fillId="0" fontId="11" numFmtId="165" xfId="0" applyAlignment="1" applyBorder="1" applyFont="1" applyNumberFormat="1">
      <alignment horizontal="right" shrinkToFit="0" vertical="center" wrapText="1"/>
    </xf>
    <xf borderId="6" fillId="0" fontId="3" numFmtId="0" xfId="0" applyBorder="1" applyFont="1"/>
    <xf borderId="6" fillId="0" fontId="13" numFmtId="165" xfId="0" applyAlignment="1" applyBorder="1" applyFont="1" applyNumberFormat="1">
      <alignment horizontal="right" shrinkToFit="0" vertical="center" wrapText="1"/>
    </xf>
    <xf quotePrefix="1" borderId="6" fillId="0" fontId="3" numFmtId="0" xfId="0" applyBorder="1" applyFont="1"/>
    <xf borderId="0" fillId="0" fontId="6" numFmtId="0" xfId="0" applyAlignment="1" applyFont="1">
      <alignment horizontal="center"/>
    </xf>
    <xf borderId="6" fillId="9" fontId="10" numFmtId="0" xfId="0" applyAlignment="1" applyBorder="1" applyFill="1" applyFont="1">
      <alignment shrinkToFit="0" vertical="center" wrapText="1"/>
    </xf>
    <xf borderId="6" fillId="9" fontId="10" numFmtId="0" xfId="0" applyAlignment="1" applyBorder="1" applyFont="1">
      <alignment vertical="center"/>
    </xf>
    <xf borderId="6" fillId="9" fontId="10" numFmtId="0" xfId="0" applyAlignment="1" applyBorder="1" applyFont="1">
      <alignment horizontal="center" vertical="center"/>
    </xf>
    <xf borderId="6" fillId="9" fontId="10" numFmtId="0" xfId="0" applyAlignment="1" applyBorder="1" applyFont="1">
      <alignment horizontal="center" shrinkToFit="0" vertical="center" wrapText="1"/>
    </xf>
    <xf borderId="12" fillId="9" fontId="10" numFmtId="0" xfId="0" applyAlignment="1" applyBorder="1" applyFont="1">
      <alignment horizontal="center" shrinkToFit="0" vertical="center" wrapText="1"/>
    </xf>
    <xf borderId="13" fillId="0" fontId="2" numFmtId="0" xfId="0" applyBorder="1" applyFont="1"/>
    <xf borderId="6" fillId="0" fontId="11" numFmtId="0" xfId="0" applyAlignment="1" applyBorder="1" applyFont="1">
      <alignment horizontal="center" shrinkToFit="0" vertical="center" wrapText="1"/>
    </xf>
    <xf borderId="6" fillId="0" fontId="11" numFmtId="10" xfId="0" applyAlignment="1" applyBorder="1" applyFont="1" applyNumberFormat="1">
      <alignment horizontal="center" shrinkToFit="0" vertical="center" wrapText="1"/>
    </xf>
    <xf borderId="6" fillId="0" fontId="11" numFmtId="0" xfId="0" applyAlignment="1" applyBorder="1" applyFont="1">
      <alignment horizontal="left" shrinkToFit="0" vertical="center" wrapText="1"/>
    </xf>
    <xf quotePrefix="1" borderId="14" fillId="5" fontId="15" numFmtId="0" xfId="0" applyBorder="1" applyFont="1"/>
    <xf borderId="0" fillId="0" fontId="15" numFmtId="0" xfId="0" applyFont="1"/>
    <xf borderId="6" fillId="0" fontId="3" numFmtId="0" xfId="0" applyAlignment="1" applyBorder="1" applyFont="1">
      <alignment vertical="top"/>
    </xf>
    <xf quotePrefix="1" borderId="14" fillId="5" fontId="15" numFmtId="17" xfId="0" applyBorder="1" applyFont="1" applyNumberFormat="1"/>
    <xf borderId="6" fillId="0" fontId="11" numFmtId="3" xfId="0" applyAlignment="1" applyBorder="1" applyFont="1" applyNumberFormat="1">
      <alignment horizontal="center" shrinkToFit="0" vertical="center" wrapText="1"/>
    </xf>
    <xf borderId="14" fillId="5" fontId="15" numFmtId="0" xfId="0" applyBorder="1" applyFont="1"/>
    <xf borderId="6" fillId="0" fontId="11" numFmtId="2" xfId="0" applyAlignment="1" applyBorder="1" applyFont="1" applyNumberFormat="1">
      <alignment horizontal="center" shrinkToFit="0" vertical="center" wrapText="1"/>
    </xf>
    <xf borderId="6" fillId="0" fontId="16" numFmtId="0" xfId="0" applyAlignment="1" applyBorder="1" applyFont="1">
      <alignment shrinkToFit="0" vertical="center" wrapText="1"/>
    </xf>
    <xf borderId="6" fillId="0" fontId="16" numFmtId="0" xfId="0" applyAlignment="1" applyBorder="1" applyFont="1">
      <alignment horizontal="center" shrinkToFit="0" vertical="center" wrapText="1"/>
    </xf>
    <xf borderId="0" fillId="0" fontId="17" numFmtId="0" xfId="0" applyAlignment="1" applyFont="1">
      <alignment horizontal="center"/>
    </xf>
    <xf borderId="0" fillId="0" fontId="18" numFmtId="0" xfId="0" applyFont="1"/>
    <xf borderId="6" fillId="9" fontId="19" numFmtId="0" xfId="0" applyAlignment="1" applyBorder="1" applyFont="1">
      <alignment horizontal="left"/>
    </xf>
    <xf borderId="6" fillId="9" fontId="20" numFmtId="0" xfId="0" applyAlignment="1" applyBorder="1" applyFont="1">
      <alignment horizontal="center"/>
    </xf>
    <xf borderId="15" fillId="9" fontId="21" numFmtId="0" xfId="0" applyAlignment="1" applyBorder="1" applyFont="1">
      <alignment horizontal="center"/>
    </xf>
    <xf borderId="6" fillId="0" fontId="22" numFmtId="0" xfId="0" applyBorder="1" applyFont="1"/>
    <xf borderId="6" fillId="0" fontId="22" numFmtId="4" xfId="0" applyBorder="1" applyFont="1" applyNumberFormat="1"/>
    <xf borderId="6" fillId="0" fontId="23" numFmtId="0" xfId="0" applyBorder="1" applyFont="1"/>
    <xf borderId="6" fillId="0" fontId="22" numFmtId="166" xfId="0" applyBorder="1" applyFont="1" applyNumberFormat="1"/>
    <xf borderId="6" fillId="0" fontId="22" numFmtId="10" xfId="0" applyBorder="1" applyFont="1" applyNumberFormat="1"/>
    <xf borderId="6" fillId="0" fontId="22" numFmtId="9" xfId="0" applyBorder="1" applyFont="1" applyNumberFormat="1"/>
    <xf quotePrefix="1" borderId="6" fillId="0" fontId="22" numFmtId="0" xfId="0" applyAlignment="1" applyBorder="1" applyFont="1">
      <alignment horizontal="left"/>
    </xf>
    <xf borderId="6" fillId="0" fontId="22" numFmtId="0" xfId="0" applyAlignment="1" applyBorder="1" applyFont="1">
      <alignment horizontal="left"/>
    </xf>
    <xf borderId="6" fillId="0" fontId="24" numFmtId="4" xfId="0" applyBorder="1" applyFont="1" applyNumberFormat="1"/>
    <xf borderId="6" fillId="0" fontId="3" numFmtId="4" xfId="0" applyBorder="1" applyFont="1" applyNumberFormat="1"/>
    <xf borderId="0" fillId="0" fontId="3" numFmtId="4" xfId="0" applyFont="1" applyNumberFormat="1"/>
    <xf borderId="0" fillId="0" fontId="3" numFmtId="10" xfId="0" applyFont="1" applyNumberFormat="1"/>
    <xf borderId="2" fillId="0" fontId="22" numFmtId="4" xfId="0" applyAlignment="1" applyBorder="1" applyFont="1" applyNumberFormat="1">
      <alignment horizontal="center"/>
    </xf>
    <xf borderId="0" fillId="0" fontId="22" numFmtId="0" xfId="0" applyFont="1"/>
    <xf borderId="0" fillId="0" fontId="22" numFmtId="4" xfId="0" applyAlignment="1" applyFont="1" applyNumberFormat="1">
      <alignment horizontal="center"/>
    </xf>
    <xf borderId="0" fillId="0" fontId="25" numFmtId="0" xfId="0" applyAlignment="1" applyFont="1">
      <alignment horizontal="center" shrinkToFit="0" wrapText="1"/>
    </xf>
    <xf borderId="6" fillId="9" fontId="19" numFmtId="0" xfId="0" applyBorder="1" applyFont="1"/>
    <xf borderId="6" fillId="9" fontId="19" numFmtId="0" xfId="0" applyAlignment="1" applyBorder="1" applyFont="1">
      <alignment horizontal="center"/>
    </xf>
    <xf borderId="6" fillId="0" fontId="19" numFmtId="0" xfId="0" applyBorder="1" applyFont="1"/>
    <xf borderId="6" fillId="0" fontId="19" numFmtId="164" xfId="0" applyBorder="1" applyFont="1" applyNumberFormat="1"/>
    <xf borderId="6" fillId="0" fontId="19" numFmtId="2" xfId="0" applyBorder="1" applyFont="1" applyNumberFormat="1"/>
    <xf borderId="6" fillId="0" fontId="26" numFmtId="0" xfId="0" applyBorder="1" applyFont="1"/>
    <xf borderId="6" fillId="0" fontId="26" numFmtId="164" xfId="0" applyBorder="1" applyFont="1" applyNumberFormat="1"/>
    <xf borderId="6" fillId="0" fontId="19" numFmtId="9" xfId="0" applyBorder="1" applyFont="1" applyNumberFormat="1"/>
    <xf borderId="0" fillId="0" fontId="19" numFmtId="0" xfId="0" applyFont="1"/>
    <xf borderId="0" fillId="0" fontId="26" numFmtId="0" xfId="0" applyFont="1"/>
    <xf borderId="0" fillId="0" fontId="26" numFmtId="10" xfId="0" applyFont="1" applyNumberFormat="1"/>
    <xf borderId="0" fillId="0" fontId="27" numFmtId="0" xfId="0" applyAlignment="1" applyFont="1">
      <alignment horizontal="center" shrinkToFit="0" wrapText="1"/>
    </xf>
    <xf borderId="6" fillId="9" fontId="26" numFmtId="0" xfId="0" applyBorder="1" applyFont="1"/>
    <xf borderId="6" fillId="9" fontId="26" numFmtId="0" xfId="0" applyAlignment="1" applyBorder="1" applyFont="1">
      <alignment horizontal="center"/>
    </xf>
    <xf borderId="6" fillId="0" fontId="19" numFmtId="3" xfId="0" applyBorder="1" applyFont="1" applyNumberFormat="1"/>
    <xf borderId="6" fillId="0" fontId="19" numFmtId="0" xfId="0" applyAlignment="1" applyBorder="1" applyFont="1">
      <alignment shrinkToFit="0" wrapText="1"/>
    </xf>
    <xf borderId="6" fillId="0" fontId="28" numFmtId="0" xfId="0" applyBorder="1" applyFont="1"/>
    <xf borderId="0" fillId="0" fontId="19" numFmtId="164" xfId="0" applyFont="1" applyNumberFormat="1"/>
    <xf borderId="0" fillId="0" fontId="28" numFmtId="0" xfId="0" applyFont="1"/>
    <xf borderId="0" fillId="0" fontId="19" numFmtId="166" xfId="0" applyFont="1" applyNumberFormat="1"/>
    <xf borderId="0" fillId="0" fontId="29" numFmtId="0" xfId="0" applyAlignment="1" applyFont="1">
      <alignment horizontal="center" shrinkToFit="0" wrapText="1"/>
    </xf>
    <xf borderId="6" fillId="9" fontId="30" numFmtId="0" xfId="0" applyAlignment="1" applyBorder="1" applyFont="1">
      <alignment horizontal="center"/>
    </xf>
    <xf borderId="6" fillId="0" fontId="31" numFmtId="0" xfId="0" applyAlignment="1" applyBorder="1" applyFont="1">
      <alignment horizontal="center"/>
    </xf>
    <xf borderId="6" fillId="0" fontId="32" numFmtId="0" xfId="0" applyAlignment="1" applyBorder="1" applyFont="1">
      <alignment horizontal="center"/>
    </xf>
    <xf borderId="2" fillId="0" fontId="19" numFmtId="2" xfId="0" applyAlignment="1" applyBorder="1" applyFont="1" applyNumberFormat="1">
      <alignment horizontal="center"/>
    </xf>
    <xf borderId="6" fillId="0" fontId="26" numFmtId="0" xfId="0" applyAlignment="1" applyBorder="1" applyFont="1">
      <alignment horizontal="center" vertical="center"/>
    </xf>
    <xf borderId="2" fillId="0" fontId="26" numFmtId="10" xfId="0" applyAlignment="1" applyBorder="1" applyFont="1" applyNumberFormat="1">
      <alignment horizontal="center"/>
    </xf>
    <xf borderId="0" fillId="0" fontId="29" numFmtId="0" xfId="0" applyAlignment="1" applyFont="1">
      <alignment horizontal="center"/>
    </xf>
    <xf borderId="6" fillId="0" fontId="22" numFmtId="0" xfId="0" applyAlignment="1" applyBorder="1" applyFont="1">
      <alignment horizontal="center"/>
    </xf>
    <xf borderId="6" fillId="0" fontId="24" numFmtId="0" xfId="0" applyAlignment="1" applyBorder="1" applyFont="1">
      <alignment horizontal="center"/>
    </xf>
    <xf borderId="6" fillId="0" fontId="22" numFmtId="164" xfId="0" applyAlignment="1" applyBorder="1" applyFont="1" applyNumberFormat="1">
      <alignment horizontal="center"/>
    </xf>
    <xf borderId="6" fillId="0" fontId="3" numFmtId="164" xfId="0" applyBorder="1" applyFont="1" applyNumberFormat="1"/>
    <xf borderId="6" fillId="0" fontId="3" numFmtId="0" xfId="0" applyAlignment="1" applyBorder="1" applyFont="1">
      <alignment horizontal="center" vertical="center"/>
    </xf>
    <xf borderId="6" fillId="0" fontId="6" numFmtId="164" xfId="0" applyBorder="1" applyFont="1" applyNumberFormat="1"/>
    <xf borderId="6" fillId="0" fontId="6" numFmtId="2" xfId="0" applyBorder="1" applyFont="1" applyNumberFormat="1"/>
    <xf borderId="0" fillId="0" fontId="3" numFmtId="0" xfId="0" applyFont="1"/>
    <xf borderId="0" fillId="0" fontId="6" numFmtId="0" xfId="0" applyFont="1"/>
    <xf borderId="0" fillId="0" fontId="6" numFmtId="2" xfId="0" applyFont="1" applyNumberFormat="1"/>
    <xf borderId="6" fillId="0" fontId="30" numFmtId="0" xfId="0" applyAlignment="1" applyBorder="1" applyFont="1">
      <alignment horizontal="center"/>
    </xf>
    <xf borderId="6" fillId="0" fontId="26" numFmtId="2" xfId="0" applyBorder="1" applyFont="1" applyNumberFormat="1"/>
    <xf borderId="0" fillId="0" fontId="19" numFmtId="167" xfId="0" applyFont="1" applyNumberFormat="1"/>
    <xf borderId="0" fillId="0" fontId="19" numFmtId="2" xfId="0" applyFont="1" applyNumberFormat="1"/>
    <xf borderId="0" fillId="0" fontId="3" numFmtId="167" xfId="0" applyFont="1" applyNumberFormat="1"/>
    <xf borderId="16" fillId="0" fontId="17" numFmtId="0" xfId="0" applyAlignment="1" applyBorder="1" applyFont="1">
      <alignment horizontal="center"/>
    </xf>
    <xf borderId="0" fillId="0" fontId="8" numFmtId="0" xfId="0" applyAlignment="1" applyFont="1">
      <alignment horizontal="center"/>
    </xf>
    <xf borderId="6" fillId="0" fontId="22" numFmtId="164" xfId="0" applyBorder="1" applyFont="1" applyNumberFormat="1"/>
    <xf borderId="14" fillId="6" fontId="6" numFmtId="9" xfId="0" applyBorder="1" applyFont="1" applyNumberFormat="1"/>
    <xf borderId="6" fillId="0" fontId="23" numFmtId="164" xfId="0" applyBorder="1" applyFont="1" applyNumberFormat="1"/>
    <xf borderId="0" fillId="0" fontId="22" numFmtId="168" xfId="0" applyFont="1" applyNumberFormat="1"/>
    <xf borderId="6" fillId="0" fontId="22" numFmtId="168" xfId="0" applyBorder="1" applyFont="1" applyNumberFormat="1"/>
    <xf borderId="6" fillId="0" fontId="22" numFmtId="169" xfId="0" applyBorder="1" applyFont="1" applyNumberFormat="1"/>
    <xf borderId="6" fillId="0" fontId="22" numFmtId="167" xfId="0" applyBorder="1" applyFont="1" applyNumberFormat="1"/>
    <xf borderId="6" fillId="0" fontId="23" numFmtId="166" xfId="0" applyBorder="1" applyFont="1" applyNumberFormat="1"/>
    <xf borderId="0" fillId="0" fontId="3" numFmtId="9" xfId="0" applyFont="1" applyNumberFormat="1"/>
    <xf borderId="6" fillId="0" fontId="23" numFmtId="168" xfId="0" applyBorder="1" applyFont="1" applyNumberFormat="1"/>
    <xf borderId="0" fillId="0" fontId="33" numFmtId="0" xfId="0" applyAlignment="1" applyFont="1">
      <alignment horizontal="center" shrinkToFit="0" wrapText="1"/>
    </xf>
    <xf borderId="0" fillId="0" fontId="33" numFmtId="0" xfId="0" applyFont="1"/>
    <xf borderId="6" fillId="8" fontId="34" numFmtId="0" xfId="0" applyAlignment="1" applyBorder="1" applyFont="1">
      <alignment horizontal="center" shrinkToFit="0" vertical="center" wrapText="1"/>
    </xf>
    <xf borderId="6" fillId="5" fontId="24" numFmtId="0" xfId="0" applyAlignment="1" applyBorder="1" applyFont="1">
      <alignment shrinkToFit="0" vertical="center" wrapText="1"/>
    </xf>
    <xf borderId="6" fillId="0" fontId="24" numFmtId="0" xfId="0" applyAlignment="1" applyBorder="1" applyFont="1">
      <alignment horizontal="left" shrinkToFit="0" vertical="center" wrapText="1"/>
    </xf>
    <xf borderId="6" fillId="0" fontId="24" numFmtId="0" xfId="0" applyAlignment="1" applyBorder="1" applyFont="1">
      <alignment horizontal="center" shrinkToFit="0" vertical="center" wrapText="1"/>
    </xf>
    <xf borderId="6" fillId="0" fontId="24" numFmtId="170" xfId="0" applyAlignment="1" applyBorder="1" applyFont="1" applyNumberFormat="1">
      <alignment horizontal="right" shrinkToFit="0" vertical="center" wrapText="1"/>
    </xf>
    <xf borderId="6" fillId="5" fontId="19" numFmtId="0" xfId="0" applyAlignment="1" applyBorder="1" applyFont="1">
      <alignment shrinkToFit="0" vertical="center" wrapText="1"/>
    </xf>
    <xf borderId="6" fillId="5" fontId="24" numFmtId="164" xfId="0" applyAlignment="1" applyBorder="1" applyFont="1" applyNumberFormat="1">
      <alignment horizontal="left" shrinkToFit="0" vertical="center" wrapText="1"/>
    </xf>
    <xf borderId="6" fillId="5" fontId="24" numFmtId="164" xfId="0" applyAlignment="1" applyBorder="1" applyFont="1" applyNumberFormat="1">
      <alignment shrinkToFit="0" vertical="center" wrapText="1"/>
    </xf>
    <xf borderId="6" fillId="5" fontId="35" numFmtId="164" xfId="0" applyAlignment="1" applyBorder="1" applyFont="1" applyNumberFormat="1">
      <alignment horizontal="right" shrinkToFit="0" vertical="center" wrapText="1"/>
    </xf>
    <xf borderId="6" fillId="5" fontId="24" numFmtId="167" xfId="0" applyAlignment="1" applyBorder="1" applyFont="1" applyNumberFormat="1">
      <alignment horizontal="left" shrinkToFit="0" vertical="center" wrapText="1"/>
    </xf>
    <xf borderId="6" fillId="5" fontId="24" numFmtId="164" xfId="0" applyAlignment="1" applyBorder="1" applyFont="1" applyNumberFormat="1">
      <alignment horizontal="right" shrinkToFit="0" vertical="center" wrapText="1"/>
    </xf>
    <xf borderId="2" fillId="0" fontId="26" numFmtId="0" xfId="0" applyAlignment="1" applyBorder="1" applyFont="1">
      <alignment horizontal="center" shrinkToFit="0" vertical="center" wrapText="1"/>
    </xf>
    <xf borderId="6" fillId="0" fontId="26" numFmtId="165" xfId="0" applyAlignment="1" applyBorder="1" applyFont="1" applyNumberFormat="1">
      <alignment horizontal="right" shrinkToFit="0" vertical="center" wrapText="1"/>
    </xf>
    <xf borderId="0" fillId="0" fontId="3" numFmtId="0" xfId="0" applyAlignment="1" applyFont="1">
      <alignment horizontal="center"/>
    </xf>
    <xf borderId="6" fillId="5" fontId="22" numFmtId="0" xfId="0" applyAlignment="1" applyBorder="1" applyFont="1">
      <alignment horizontal="center" shrinkToFit="0" vertical="center" wrapText="1"/>
    </xf>
    <xf borderId="6" fillId="5" fontId="19" numFmtId="0" xfId="0" applyBorder="1" applyFont="1"/>
    <xf borderId="6" fillId="5" fontId="22" numFmtId="165" xfId="0" applyAlignment="1" applyBorder="1" applyFont="1" applyNumberFormat="1">
      <alignment horizontal="right" shrinkToFit="0" vertical="center" wrapText="1"/>
    </xf>
    <xf borderId="6" fillId="5" fontId="23" numFmtId="0" xfId="0" applyAlignment="1" applyBorder="1" applyFont="1">
      <alignment horizontal="center" shrinkToFit="0" vertical="center" wrapText="1"/>
    </xf>
    <xf borderId="6" fillId="5" fontId="23" numFmtId="0" xfId="0" applyAlignment="1" applyBorder="1" applyFont="1">
      <alignment shrinkToFit="0" vertical="center" wrapText="1"/>
    </xf>
    <xf borderId="6" fillId="5" fontId="23" numFmtId="164" xfId="0" applyAlignment="1" applyBorder="1" applyFont="1" applyNumberFormat="1">
      <alignment horizontal="right" shrinkToFit="0" vertical="center" wrapText="1"/>
    </xf>
    <xf borderId="6" fillId="5" fontId="26" numFmtId="0" xfId="0" applyBorder="1" applyFont="1"/>
    <xf borderId="2" fillId="5" fontId="23" numFmtId="0" xfId="0" applyAlignment="1" applyBorder="1" applyFont="1">
      <alignment horizontal="center" shrinkToFit="0" vertical="center" wrapText="1"/>
    </xf>
    <xf borderId="6" fillId="5" fontId="23" numFmtId="165" xfId="0" applyAlignment="1" applyBorder="1" applyFont="1" applyNumberFormat="1">
      <alignment horizontal="right" shrinkToFit="0" vertical="center" wrapText="1"/>
    </xf>
    <xf borderId="6" fillId="5" fontId="22" numFmtId="0" xfId="0" applyAlignment="1" applyBorder="1" applyFont="1">
      <alignment shrinkToFit="0" vertical="center" wrapText="1"/>
    </xf>
    <xf borderId="6" fillId="5" fontId="35" numFmtId="165" xfId="0" applyAlignment="1" applyBorder="1" applyFont="1" applyNumberFormat="1">
      <alignment horizontal="right" shrinkToFit="0" vertical="center" wrapText="1"/>
    </xf>
    <xf borderId="6" fillId="5" fontId="23" numFmtId="0" xfId="0" applyAlignment="1" applyBorder="1" applyFont="1">
      <alignment horizontal="left" shrinkToFit="0" vertical="center" wrapText="1"/>
    </xf>
    <xf borderId="2" fillId="0" fontId="23" numFmtId="0" xfId="0" applyAlignment="1" applyBorder="1" applyFont="1">
      <alignment horizontal="center" shrinkToFit="0" vertical="center" wrapText="1"/>
    </xf>
    <xf borderId="6" fillId="0" fontId="23" numFmtId="165" xfId="0" applyAlignment="1" applyBorder="1" applyFont="1" applyNumberFormat="1">
      <alignment horizontal="right" shrinkToFit="0" vertical="center" wrapText="1"/>
    </xf>
    <xf borderId="0" fillId="0" fontId="3" numFmtId="170" xfId="0" applyFont="1" applyNumberFormat="1"/>
    <xf borderId="6" fillId="8" fontId="36" numFmtId="0" xfId="0" applyAlignment="1" applyBorder="1" applyFont="1">
      <alignment shrinkToFit="0" vertical="center" wrapText="1"/>
    </xf>
    <xf borderId="6" fillId="8" fontId="36" numFmtId="0" xfId="0" applyAlignment="1" applyBorder="1" applyFont="1">
      <alignment horizontal="center" shrinkToFit="0" vertical="center" wrapText="1"/>
    </xf>
    <xf borderId="6" fillId="5" fontId="16" numFmtId="0" xfId="0" applyAlignment="1" applyBorder="1" applyFont="1">
      <alignment horizontal="center" shrinkToFit="0" vertical="center" wrapText="1"/>
    </xf>
    <xf borderId="6" fillId="5" fontId="16" numFmtId="0" xfId="0" applyAlignment="1" applyBorder="1" applyFont="1">
      <alignment shrinkToFit="0" vertical="center" wrapText="1"/>
    </xf>
    <xf borderId="6" fillId="5" fontId="16" numFmtId="165" xfId="0" applyAlignment="1" applyBorder="1" applyFont="1" applyNumberFormat="1">
      <alignment horizontal="center" shrinkToFit="0" vertical="center" wrapText="1"/>
    </xf>
    <xf borderId="6" fillId="5" fontId="37" numFmtId="165" xfId="0" applyAlignment="1" applyBorder="1" applyFont="1" applyNumberFormat="1">
      <alignment horizontal="right" shrinkToFit="0" vertical="center" wrapText="1"/>
    </xf>
    <xf borderId="6" fillId="5" fontId="16" numFmtId="165" xfId="0" applyAlignment="1" applyBorder="1" applyFont="1" applyNumberFormat="1">
      <alignment horizontal="right" shrinkToFit="0" vertical="center" wrapText="1"/>
    </xf>
    <xf borderId="2" fillId="0" fontId="38" numFmtId="0" xfId="0" applyAlignment="1" applyBorder="1" applyFont="1">
      <alignment horizontal="center" shrinkToFit="0" vertical="center" wrapText="1"/>
    </xf>
    <xf borderId="6" fillId="0" fontId="38" numFmtId="165" xfId="0" applyAlignment="1" applyBorder="1" applyFont="1" applyNumberFormat="1">
      <alignment horizontal="right" shrinkToFit="0" vertical="center" wrapText="1"/>
    </xf>
    <xf borderId="6" fillId="8" fontId="34" numFmtId="0" xfId="0" applyAlignment="1" applyBorder="1" applyFont="1">
      <alignment shrinkToFit="0" vertical="center" wrapText="1"/>
    </xf>
    <xf borderId="6" fillId="5" fontId="22" numFmtId="165" xfId="0" applyAlignment="1" applyBorder="1" applyFont="1" applyNumberFormat="1">
      <alignment horizontal="center" shrinkToFit="0" vertical="center" wrapText="1"/>
    </xf>
    <xf borderId="17" fillId="6" fontId="6" numFmtId="0" xfId="0" applyAlignment="1" applyBorder="1" applyFont="1">
      <alignment horizontal="center"/>
    </xf>
    <xf borderId="18" fillId="0" fontId="2" numFmtId="0" xfId="0" applyBorder="1" applyFont="1"/>
    <xf borderId="19" fillId="0" fontId="2" numFmtId="0" xfId="0" applyBorder="1" applyFont="1"/>
    <xf borderId="20" fillId="8" fontId="34" numFmtId="0" xfId="0" applyAlignment="1" applyBorder="1" applyFont="1">
      <alignment shrinkToFit="0" vertical="center" wrapText="1"/>
    </xf>
    <xf borderId="21" fillId="8" fontId="34" numFmtId="0" xfId="0" applyAlignment="1" applyBorder="1" applyFont="1">
      <alignment horizontal="center" shrinkToFit="0" vertical="center" wrapText="1"/>
    </xf>
    <xf borderId="22" fillId="5" fontId="22" numFmtId="0" xfId="0" applyAlignment="1" applyBorder="1" applyFont="1">
      <alignment horizontal="right" shrinkToFit="0" vertical="center" wrapText="1"/>
    </xf>
    <xf borderId="6" fillId="0" fontId="22" numFmtId="0" xfId="0" applyAlignment="1" applyBorder="1" applyFont="1">
      <alignment shrinkToFit="0" vertical="center" wrapText="1"/>
    </xf>
    <xf borderId="23" fillId="5" fontId="22" numFmtId="165" xfId="0" applyAlignment="1" applyBorder="1" applyFont="1" applyNumberFormat="1">
      <alignment horizontal="right" shrinkToFit="0" vertical="center" wrapText="1"/>
    </xf>
    <xf borderId="23" fillId="5" fontId="22" numFmtId="0" xfId="0" applyAlignment="1" applyBorder="1" applyFont="1">
      <alignment shrinkToFit="0" vertical="center" wrapText="1"/>
    </xf>
    <xf borderId="23" fillId="5" fontId="35" numFmtId="165" xfId="0" applyAlignment="1" applyBorder="1" applyFont="1" applyNumberFormat="1">
      <alignment horizontal="right" shrinkToFit="0" vertical="center" wrapText="1"/>
    </xf>
    <xf borderId="24" fillId="0" fontId="23" numFmtId="0" xfId="0" applyAlignment="1" applyBorder="1" applyFont="1">
      <alignment horizontal="center" shrinkToFit="0" vertical="center" wrapText="1"/>
    </xf>
    <xf borderId="25" fillId="0" fontId="2" numFmtId="0" xfId="0" applyBorder="1" applyFont="1"/>
    <xf borderId="23" fillId="5" fontId="23" numFmtId="165" xfId="0" applyAlignment="1" applyBorder="1" applyFont="1" applyNumberFormat="1">
      <alignment horizontal="right" shrinkToFit="0" vertical="center" wrapText="1"/>
    </xf>
    <xf borderId="0" fillId="0" fontId="19" numFmtId="9" xfId="0" applyFont="1" applyNumberFormat="1"/>
    <xf borderId="0" fillId="0" fontId="19" numFmtId="10" xfId="0" applyFont="1" applyNumberFormat="1"/>
    <xf borderId="6" fillId="8" fontId="26" numFmtId="0" xfId="0" applyBorder="1" applyFont="1"/>
    <xf borderId="6" fillId="8" fontId="26" numFmtId="0" xfId="0" applyAlignment="1" applyBorder="1" applyFont="1">
      <alignment horizontal="center"/>
    </xf>
    <xf borderId="0" fillId="0" fontId="39" numFmtId="0" xfId="0" applyAlignment="1" applyFont="1">
      <alignment horizontal="center"/>
    </xf>
    <xf borderId="0" fillId="0" fontId="40" numFmtId="0" xfId="0" applyAlignment="1" applyFont="1">
      <alignment horizontal="center"/>
    </xf>
    <xf borderId="1" fillId="0" fontId="26" numFmtId="0" xfId="0" applyAlignment="1" applyBorder="1" applyFont="1">
      <alignment horizontal="center"/>
    </xf>
    <xf borderId="1" fillId="0" fontId="6" numFmtId="0" xfId="0" applyAlignment="1" applyBorder="1" applyFont="1">
      <alignment horizontal="center"/>
    </xf>
    <xf borderId="6" fillId="8" fontId="23" numFmtId="0" xfId="0" applyBorder="1" applyFont="1"/>
    <xf borderId="6" fillId="8" fontId="26" numFmtId="0" xfId="0" applyAlignment="1" applyBorder="1" applyFont="1">
      <alignment horizontal="center" shrinkToFit="0" wrapText="1"/>
    </xf>
    <xf borderId="6" fillId="0" fontId="23" numFmtId="0" xfId="0" applyAlignment="1" applyBorder="1" applyFont="1">
      <alignment horizontal="center"/>
    </xf>
    <xf borderId="6" fillId="0" fontId="41" numFmtId="0" xfId="0" applyBorder="1" applyFont="1"/>
    <xf borderId="6" fillId="0" fontId="42" numFmtId="0" xfId="0" applyAlignment="1" applyBorder="1" applyFont="1">
      <alignment horizontal="center"/>
    </xf>
    <xf borderId="6" fillId="0" fontId="19" numFmtId="0" xfId="0" applyAlignment="1" applyBorder="1" applyFont="1">
      <alignment horizontal="left"/>
    </xf>
    <xf borderId="6" fillId="0" fontId="23" numFmtId="0" xfId="0" applyAlignment="1" applyBorder="1" applyFont="1">
      <alignment horizontal="left"/>
    </xf>
    <xf borderId="6" fillId="0" fontId="24" numFmtId="165" xfId="0" applyBorder="1" applyFont="1" applyNumberFormat="1"/>
    <xf borderId="6" fillId="0" fontId="26" numFmtId="0" xfId="0" applyAlignment="1" applyBorder="1" applyFont="1">
      <alignment horizontal="left"/>
    </xf>
    <xf borderId="6" fillId="0" fontId="43" numFmtId="165" xfId="0" applyBorder="1" applyFont="1" applyNumberFormat="1"/>
    <xf borderId="0" fillId="0" fontId="19" numFmtId="0" xfId="0" applyAlignment="1" applyFont="1">
      <alignment horizontal="left"/>
    </xf>
    <xf borderId="0" fillId="0" fontId="24" numFmtId="165" xfId="0" applyFont="1" applyNumberFormat="1"/>
    <xf borderId="14" fillId="10" fontId="23" numFmtId="0" xfId="0" applyAlignment="1" applyBorder="1" applyFill="1" applyFont="1">
      <alignment horizontal="left" shrinkToFit="0" wrapText="1"/>
    </xf>
    <xf borderId="0" fillId="0" fontId="23" numFmtId="0" xfId="0" applyAlignment="1" applyFont="1">
      <alignment horizontal="center"/>
    </xf>
    <xf borderId="0" fillId="0" fontId="23" numFmtId="0" xfId="0" applyFont="1"/>
    <xf borderId="0" fillId="0" fontId="23" numFmtId="0" xfId="0" applyAlignment="1" applyFont="1">
      <alignment shrinkToFit="0" wrapText="1"/>
    </xf>
    <xf borderId="0" fillId="0" fontId="19" numFmtId="0" xfId="0" applyAlignment="1" applyFont="1">
      <alignment shrinkToFit="0" wrapText="1"/>
    </xf>
    <xf borderId="0" fillId="0" fontId="22" numFmtId="10" xfId="0" applyFont="1" applyNumberFormat="1"/>
    <xf borderId="0" fillId="0" fontId="44" numFmtId="0" xfId="0" applyFont="1"/>
    <xf borderId="6" fillId="9" fontId="26" numFmtId="0" xfId="0" applyAlignment="1" applyBorder="1" applyFont="1">
      <alignment vertical="center"/>
    </xf>
    <xf borderId="6" fillId="9" fontId="26" numFmtId="0" xfId="0" applyAlignment="1" applyBorder="1" applyFont="1">
      <alignment horizontal="center" vertical="center"/>
    </xf>
    <xf borderId="6" fillId="9" fontId="19" numFmtId="165" xfId="0" applyAlignment="1" applyBorder="1" applyFont="1" applyNumberFormat="1">
      <alignment horizontal="center"/>
    </xf>
    <xf borderId="0" fillId="0" fontId="15" numFmtId="165" xfId="0" applyFont="1" applyNumberFormat="1"/>
    <xf borderId="6" fillId="0" fontId="43" numFmtId="0" xfId="0" applyAlignment="1" applyBorder="1" applyFont="1">
      <alignment vertical="center"/>
    </xf>
    <xf borderId="6" fillId="0" fontId="43" numFmtId="0" xfId="0" applyAlignment="1" applyBorder="1" applyFont="1">
      <alignment horizontal="center" vertical="center"/>
    </xf>
    <xf borderId="6" fillId="0" fontId="43" numFmtId="0" xfId="0" applyBorder="1" applyFont="1"/>
    <xf borderId="6" fillId="0" fontId="24" numFmtId="0" xfId="0" applyBorder="1" applyFont="1"/>
    <xf borderId="0" fillId="0" fontId="39" numFmtId="165" xfId="0" applyFont="1" applyNumberFormat="1"/>
    <xf borderId="0" fillId="0" fontId="39" numFmtId="38" xfId="0" applyAlignment="1" applyFont="1" applyNumberFormat="1">
      <alignment horizontal="left"/>
    </xf>
    <xf borderId="0" fillId="0" fontId="39" numFmtId="0" xfId="0" applyFont="1"/>
    <xf borderId="6" fillId="0" fontId="24" numFmtId="171" xfId="0" applyAlignment="1" applyBorder="1" applyFont="1" applyNumberFormat="1">
      <alignment vertical="center"/>
    </xf>
    <xf borderId="0" fillId="0" fontId="39" numFmtId="172" xfId="0" applyAlignment="1" applyFont="1" applyNumberFormat="1">
      <alignment vertical="center"/>
    </xf>
    <xf borderId="6" fillId="0" fontId="43" numFmtId="171" xfId="0" applyAlignment="1" applyBorder="1" applyFont="1" applyNumberFormat="1">
      <alignment vertical="center"/>
    </xf>
    <xf borderId="26" fillId="0" fontId="45" numFmtId="0" xfId="0" applyBorder="1" applyFont="1"/>
    <xf borderId="26" fillId="0" fontId="39" numFmtId="0" xfId="0" applyBorder="1" applyFont="1"/>
    <xf borderId="0" fillId="0" fontId="39" numFmtId="9" xfId="0" applyFont="1" applyNumberFormat="1"/>
    <xf borderId="0" fillId="0" fontId="39" numFmtId="0" xfId="0" applyAlignment="1" applyFont="1">
      <alignment horizontal="center" shrinkToFit="0" vertical="center" wrapText="1"/>
    </xf>
    <xf borderId="0" fillId="0" fontId="19" numFmtId="173" xfId="0" applyFont="1" applyNumberFormat="1"/>
    <xf borderId="0" fillId="0" fontId="19" numFmtId="172" xfId="0" applyFont="1" applyNumberFormat="1"/>
    <xf borderId="6" fillId="8" fontId="26" numFmtId="0" xfId="0" applyAlignment="1" applyBorder="1" applyFont="1">
      <alignment horizontal="right"/>
    </xf>
    <xf borderId="6" fillId="8" fontId="26" numFmtId="2" xfId="0" applyAlignment="1" applyBorder="1" applyFont="1" applyNumberFormat="1">
      <alignment horizontal="right"/>
    </xf>
    <xf borderId="0" fillId="0" fontId="3" numFmtId="2" xfId="0" applyFont="1" applyNumberFormat="1"/>
    <xf borderId="0" fillId="0" fontId="6" numFmtId="0" xfId="0" applyAlignment="1" applyFont="1">
      <alignment horizontal="center" shrinkToFit="0" wrapText="1"/>
    </xf>
    <xf borderId="0" fillId="0" fontId="9" numFmtId="0" xfId="0" applyFont="1"/>
    <xf borderId="14" fillId="5" fontId="24" numFmtId="0" xfId="0" applyBorder="1" applyFont="1"/>
    <xf borderId="17" fillId="5" fontId="43" numFmtId="0" xfId="0" applyAlignment="1" applyBorder="1" applyFont="1">
      <alignment horizontal="center"/>
    </xf>
    <xf borderId="27" fillId="5" fontId="43" numFmtId="0" xfId="0" applyAlignment="1" applyBorder="1" applyFont="1">
      <alignment horizontal="center"/>
    </xf>
    <xf borderId="28" fillId="0" fontId="2" numFmtId="0" xfId="0" applyBorder="1" applyFont="1"/>
    <xf borderId="6" fillId="5" fontId="43" numFmtId="0" xfId="0" applyBorder="1" applyFont="1"/>
    <xf borderId="6" fillId="9" fontId="43" numFmtId="0" xfId="0" applyBorder="1" applyFont="1"/>
    <xf borderId="6" fillId="5" fontId="24" numFmtId="0" xfId="0" applyBorder="1" applyFont="1"/>
    <xf borderId="6" fillId="5" fontId="24" numFmtId="164" xfId="0" applyBorder="1" applyFont="1" applyNumberFormat="1"/>
    <xf borderId="6" fillId="5" fontId="24" numFmtId="2" xfId="0" applyBorder="1" applyFont="1" applyNumberFormat="1"/>
    <xf borderId="6" fillId="5" fontId="24" numFmtId="174" xfId="0" applyBorder="1" applyFont="1" applyNumberFormat="1"/>
    <xf borderId="6" fillId="5" fontId="43" numFmtId="2" xfId="0" applyBorder="1" applyFont="1" applyNumberFormat="1"/>
    <xf borderId="0" fillId="0" fontId="46" numFmtId="0" xfId="0" applyFont="1"/>
    <xf borderId="0" fillId="0" fontId="3" numFmtId="0" xfId="0" applyAlignment="1" applyFont="1">
      <alignment shrinkToFit="0" wrapText="1"/>
    </xf>
    <xf borderId="8" fillId="8" fontId="34" numFmtId="0" xfId="0" applyAlignment="1" applyBorder="1" applyFont="1">
      <alignment horizontal="center" shrinkToFit="0" vertical="center" wrapText="1"/>
    </xf>
    <xf borderId="29" fillId="8" fontId="34" numFmtId="0" xfId="0" applyAlignment="1" applyBorder="1" applyFont="1">
      <alignment horizontal="center" shrinkToFit="0" vertical="center" wrapText="1"/>
    </xf>
    <xf borderId="12" fillId="8" fontId="34" numFmtId="0" xfId="0" applyAlignment="1" applyBorder="1" applyFont="1">
      <alignment horizontal="center" shrinkToFit="0" vertical="center" wrapText="1"/>
    </xf>
    <xf borderId="6" fillId="0" fontId="43" numFmtId="0" xfId="0" applyAlignment="1" applyBorder="1" applyFont="1">
      <alignment horizontal="center" shrinkToFit="0" vertical="center" wrapText="1"/>
    </xf>
    <xf borderId="6" fillId="0" fontId="43" numFmtId="0" xfId="0" applyAlignment="1" applyBorder="1" applyFont="1">
      <alignment horizontal="left" shrinkToFit="0" vertical="center" wrapText="1"/>
    </xf>
    <xf borderId="6" fillId="0" fontId="24" numFmtId="164" xfId="0" applyAlignment="1" applyBorder="1" applyFont="1" applyNumberFormat="1">
      <alignment horizontal="center" shrinkToFit="0" vertical="center" wrapText="1"/>
    </xf>
    <xf borderId="6" fillId="0" fontId="23" numFmtId="0" xfId="0" applyAlignment="1" applyBorder="1" applyFont="1">
      <alignment horizontal="center" shrinkToFit="0" vertical="center" wrapText="1"/>
    </xf>
    <xf borderId="6" fillId="0" fontId="23" numFmtId="0" xfId="0" applyAlignment="1" applyBorder="1" applyFont="1">
      <alignment shrinkToFit="0" vertical="center" wrapText="1"/>
    </xf>
    <xf borderId="6" fillId="0" fontId="22" numFmtId="164" xfId="0" applyAlignment="1" applyBorder="1" applyFont="1" applyNumberFormat="1">
      <alignment horizontal="right" shrinkToFit="0" vertical="center" wrapText="1"/>
    </xf>
    <xf borderId="6" fillId="0" fontId="22" numFmtId="0" xfId="0" applyAlignment="1" applyBorder="1" applyFont="1">
      <alignment horizontal="center" shrinkToFit="0" vertical="center" wrapText="1"/>
    </xf>
    <xf borderId="4" fillId="0" fontId="23" numFmtId="0" xfId="0" applyAlignment="1" applyBorder="1" applyFont="1">
      <alignment horizontal="center" shrinkToFit="0" vertical="center" wrapText="1"/>
    </xf>
    <xf borderId="6" fillId="0" fontId="23" numFmtId="164" xfId="0" applyAlignment="1" applyBorder="1" applyFont="1" applyNumberFormat="1">
      <alignment horizontal="right" shrinkToFit="0" vertical="center" wrapText="1"/>
    </xf>
    <xf borderId="6" fillId="0" fontId="22" numFmtId="0" xfId="0" applyAlignment="1" applyBorder="1" applyFont="1">
      <alignment horizontal="right" shrinkToFit="0" vertical="center" wrapText="1"/>
    </xf>
    <xf borderId="6" fillId="0" fontId="23" numFmtId="9" xfId="0" applyAlignment="1" applyBorder="1" applyFont="1" applyNumberFormat="1">
      <alignment horizontal="center" shrinkToFit="0" vertical="center" wrapText="1"/>
    </xf>
    <xf borderId="0" fillId="0" fontId="47" numFmtId="0" xfId="0" applyAlignment="1" applyFont="1">
      <alignment horizontal="center" shrinkToFit="0" wrapText="1"/>
    </xf>
    <xf borderId="0" fillId="0" fontId="2" numFmtId="164" xfId="0" applyFont="1" applyNumberFormat="1"/>
    <xf borderId="0" fillId="0" fontId="48" numFmtId="0" xfId="0" applyAlignment="1" applyFont="1">
      <alignment horizontal="center" shrinkToFit="0" wrapText="1"/>
    </xf>
    <xf borderId="0" fillId="0" fontId="49" numFmtId="0" xfId="0" applyFont="1"/>
    <xf borderId="0" fillId="0" fontId="15" numFmtId="0" xfId="0" applyAlignment="1" applyFont="1">
      <alignment vertical="center"/>
    </xf>
    <xf borderId="30" fillId="0" fontId="9" numFmtId="0" xfId="0" applyAlignment="1" applyBorder="1" applyFont="1">
      <alignment horizontal="center"/>
    </xf>
    <xf borderId="0" fillId="0" fontId="50" numFmtId="0" xfId="0" applyAlignment="1" applyFont="1">
      <alignment vertical="center"/>
    </xf>
    <xf borderId="0" fillId="0" fontId="39" numFmtId="0" xfId="0" applyAlignment="1" applyFont="1">
      <alignment vertical="center"/>
    </xf>
    <xf borderId="31" fillId="8" fontId="26" numFmtId="0" xfId="0" applyAlignment="1" applyBorder="1" applyFont="1">
      <alignment vertical="center"/>
    </xf>
    <xf borderId="32" fillId="8" fontId="26" numFmtId="0" xfId="0" applyAlignment="1" applyBorder="1" applyFont="1">
      <alignment horizontal="center"/>
    </xf>
    <xf borderId="33" fillId="0" fontId="24" numFmtId="0" xfId="0" applyAlignment="1" applyBorder="1" applyFont="1">
      <alignment vertical="center"/>
    </xf>
    <xf borderId="6" fillId="0" fontId="43" numFmtId="37" xfId="0" applyAlignment="1" applyBorder="1" applyFont="1" applyNumberFormat="1">
      <alignment vertical="center"/>
    </xf>
    <xf borderId="6" fillId="0" fontId="51" numFmtId="3" xfId="0" applyAlignment="1" applyBorder="1" applyFont="1" applyNumberFormat="1">
      <alignment horizontal="right" vertical="center"/>
    </xf>
    <xf borderId="33" fillId="0" fontId="52" numFmtId="0" xfId="0" applyAlignment="1" applyBorder="1" applyFont="1">
      <alignment vertical="center"/>
    </xf>
    <xf borderId="6" fillId="0" fontId="24" numFmtId="4" xfId="0" applyAlignment="1" applyBorder="1" applyFont="1" applyNumberFormat="1">
      <alignment vertical="center"/>
    </xf>
    <xf borderId="33" fillId="0" fontId="43" numFmtId="0" xfId="0" applyAlignment="1" applyBorder="1" applyFont="1">
      <alignment horizontal="left" vertical="center"/>
    </xf>
    <xf borderId="6" fillId="0" fontId="53" numFmtId="4" xfId="0" applyAlignment="1" applyBorder="1" applyFont="1" applyNumberFormat="1">
      <alignment vertical="center"/>
    </xf>
    <xf borderId="6" fillId="0" fontId="43" numFmtId="3" xfId="0" applyAlignment="1" applyBorder="1" applyFont="1" applyNumberFormat="1">
      <alignment vertical="center"/>
    </xf>
    <xf borderId="0" fillId="0" fontId="15" numFmtId="3" xfId="0" applyAlignment="1" applyFont="1" applyNumberFormat="1">
      <alignment vertical="center"/>
    </xf>
    <xf borderId="33" fillId="0" fontId="24" numFmtId="0" xfId="0" applyAlignment="1" applyBorder="1" applyFont="1">
      <alignment horizontal="left" vertical="center"/>
    </xf>
    <xf borderId="6" fillId="0" fontId="24" numFmtId="3" xfId="0" applyAlignment="1" applyBorder="1" applyFont="1" applyNumberFormat="1">
      <alignment vertical="center"/>
    </xf>
    <xf borderId="33" fillId="0" fontId="43" numFmtId="0" xfId="0" applyAlignment="1" applyBorder="1" applyFont="1">
      <alignment vertical="center"/>
    </xf>
    <xf borderId="6" fillId="0" fontId="53" numFmtId="3" xfId="0" applyAlignment="1" applyBorder="1" applyFont="1" applyNumberFormat="1">
      <alignment vertical="center"/>
    </xf>
    <xf borderId="6" fillId="0" fontId="51" numFmtId="3" xfId="0" applyAlignment="1" applyBorder="1" applyFont="1" applyNumberFormat="1">
      <alignment vertical="center"/>
    </xf>
    <xf borderId="33" fillId="0" fontId="23" numFmtId="0" xfId="0" applyAlignment="1" applyBorder="1" applyFont="1">
      <alignment vertical="center"/>
    </xf>
    <xf borderId="6" fillId="0" fontId="23" numFmtId="3" xfId="0" applyAlignment="1" applyBorder="1" applyFont="1" applyNumberFormat="1">
      <alignment vertical="center"/>
    </xf>
    <xf borderId="33" fillId="0" fontId="54" numFmtId="0" xfId="0" applyAlignment="1" applyBorder="1" applyFont="1">
      <alignment vertical="center"/>
    </xf>
    <xf borderId="6" fillId="0" fontId="55" numFmtId="4" xfId="0" applyAlignment="1" applyBorder="1" applyFont="1" applyNumberFormat="1">
      <alignment vertical="center"/>
    </xf>
    <xf borderId="33" fillId="0" fontId="56" numFmtId="0" xfId="0" applyAlignment="1" applyBorder="1" applyFont="1">
      <alignment vertical="center"/>
    </xf>
    <xf borderId="6" fillId="0" fontId="56" numFmtId="4" xfId="0" applyAlignment="1" applyBorder="1" applyFont="1" applyNumberFormat="1">
      <alignment vertical="center"/>
    </xf>
    <xf borderId="34" fillId="0" fontId="56" numFmtId="0" xfId="0" applyAlignment="1" applyBorder="1" applyFont="1">
      <alignment vertical="center"/>
    </xf>
    <xf borderId="35" fillId="0" fontId="56" numFmtId="4" xfId="0" applyAlignment="1" applyBorder="1" applyFont="1" applyNumberFormat="1">
      <alignment vertical="center"/>
    </xf>
    <xf borderId="0" fillId="0" fontId="15" numFmtId="4" xfId="0" applyAlignment="1" applyFont="1" applyNumberFormat="1">
      <alignment vertical="center"/>
    </xf>
    <xf borderId="0" fillId="0" fontId="57" numFmtId="0" xfId="0" applyAlignment="1" applyFont="1">
      <alignment horizontal="center" shrinkToFit="0" wrapText="1"/>
    </xf>
    <xf borderId="6" fillId="8" fontId="26" numFmtId="0" xfId="0" applyAlignment="1" applyBorder="1" applyFont="1">
      <alignment shrinkToFit="0" wrapText="1"/>
    </xf>
    <xf borderId="6" fillId="0" fontId="23" numFmtId="0" xfId="0" applyAlignment="1" applyBorder="1" applyFont="1">
      <alignment shrinkToFit="0" wrapText="1"/>
    </xf>
    <xf borderId="6" fillId="0" fontId="22" numFmtId="164" xfId="0" applyAlignment="1" applyBorder="1" applyFont="1" applyNumberFormat="1">
      <alignment shrinkToFit="0" wrapText="1"/>
    </xf>
    <xf borderId="6" fillId="0" fontId="22" numFmtId="0" xfId="0" applyAlignment="1" applyBorder="1" applyFont="1">
      <alignment horizontal="left" shrinkToFit="0" wrapText="1"/>
    </xf>
    <xf borderId="6" fillId="0" fontId="23" numFmtId="164" xfId="0" applyAlignment="1" applyBorder="1" applyFont="1" applyNumberFormat="1">
      <alignment shrinkToFit="0" wrapText="1"/>
    </xf>
    <xf borderId="2" fillId="0" fontId="23" numFmtId="0" xfId="0" applyAlignment="1" applyBorder="1" applyFont="1">
      <alignment horizontal="center" shrinkToFit="0" wrapText="1"/>
    </xf>
    <xf borderId="6" fillId="0" fontId="22" numFmtId="0" xfId="0" applyAlignment="1" applyBorder="1" applyFont="1">
      <alignment shrinkToFit="0" wrapText="1"/>
    </xf>
    <xf borderId="6" fillId="0" fontId="22" numFmtId="0" xfId="0" applyAlignment="1" applyBorder="1" applyFont="1">
      <alignment horizontal="right" shrinkToFit="0" wrapText="1"/>
    </xf>
    <xf borderId="6" fillId="0" fontId="22" numFmtId="165" xfId="0" applyAlignment="1" applyBorder="1" applyFont="1" applyNumberFormat="1">
      <alignment shrinkToFit="0" wrapText="1"/>
    </xf>
    <xf borderId="6" fillId="0" fontId="23" numFmtId="0" xfId="0" applyAlignment="1" applyBorder="1" applyFont="1">
      <alignment horizontal="right" shrinkToFit="0" wrapText="1"/>
    </xf>
    <xf borderId="6" fillId="0" fontId="22" numFmtId="164" xfId="0" applyAlignment="1" applyBorder="1" applyFont="1" applyNumberFormat="1">
      <alignment shrinkToFit="0" wrapText="1"/>
    </xf>
    <xf borderId="6" fillId="0" fontId="23" numFmtId="0" xfId="0" applyAlignment="1" applyBorder="1" applyFont="1">
      <alignment horizontal="left" shrinkToFit="0" wrapText="1"/>
    </xf>
    <xf borderId="0" fillId="0" fontId="38" numFmtId="0" xfId="0" applyAlignment="1" applyFont="1">
      <alignment horizontal="center" shrinkToFit="0" wrapText="1"/>
    </xf>
    <xf borderId="1" fillId="0" fontId="9" numFmtId="0" xfId="0" applyAlignment="1" applyBorder="1" applyFont="1">
      <alignment horizontal="center"/>
    </xf>
    <xf borderId="6" fillId="9" fontId="6" numFmtId="0" xfId="0" applyBorder="1" applyFont="1"/>
    <xf borderId="6" fillId="9" fontId="6" numFmtId="0" xfId="0" applyAlignment="1" applyBorder="1" applyFont="1">
      <alignment horizontal="center"/>
    </xf>
    <xf borderId="0" fillId="0" fontId="6" numFmtId="0" xfId="0" applyAlignment="1" applyFont="1">
      <alignment horizontal="center"/>
    </xf>
    <xf borderId="6" fillId="5" fontId="3" numFmtId="0" xfId="0" applyBorder="1" applyFont="1"/>
    <xf borderId="0" fillId="0" fontId="3" numFmtId="1" xfId="0" applyFont="1" applyNumberFormat="1"/>
    <xf borderId="6" fillId="0" fontId="6" numFmtId="0" xfId="0" applyBorder="1" applyFont="1"/>
    <xf borderId="0" fillId="0" fontId="6" numFmtId="164" xfId="0" applyFont="1" applyNumberFormat="1"/>
    <xf borderId="6" fillId="5" fontId="6" numFmtId="0" xfId="0" applyBorder="1" applyFont="1"/>
    <xf borderId="6" fillId="0" fontId="6" numFmtId="1" xfId="0" applyBorder="1" applyFont="1" applyNumberFormat="1"/>
    <xf borderId="0" fillId="0" fontId="3" numFmtId="175" xfId="0" applyFont="1" applyNumberFormat="1"/>
    <xf borderId="6" fillId="9" fontId="6" numFmtId="0" xfId="0" applyAlignment="1" applyBorder="1" applyFont="1">
      <alignment shrinkToFit="0" wrapText="1"/>
    </xf>
    <xf borderId="26" fillId="0" fontId="6" numFmtId="0" xfId="0" applyAlignment="1" applyBorder="1" applyFont="1">
      <alignment shrinkToFit="0" wrapText="1"/>
    </xf>
    <xf borderId="8" fillId="0" fontId="3" numFmtId="0" xfId="0" applyAlignment="1" applyBorder="1" applyFont="1">
      <alignment horizontal="center" vertical="center"/>
    </xf>
    <xf borderId="6" fillId="5" fontId="3" numFmtId="9" xfId="0" applyBorder="1" applyFont="1" applyNumberFormat="1"/>
    <xf borderId="6" fillId="0" fontId="3" numFmtId="1" xfId="0" applyBorder="1" applyFont="1" applyNumberFormat="1"/>
    <xf borderId="6" fillId="6" fontId="3" numFmtId="1" xfId="0" applyBorder="1" applyFont="1" applyNumberFormat="1"/>
    <xf borderId="6" fillId="6" fontId="3" numFmtId="9" xfId="0" applyBorder="1" applyFont="1" applyNumberFormat="1"/>
    <xf borderId="9" fillId="0" fontId="3" numFmtId="0" xfId="0" applyAlignment="1" applyBorder="1" applyFont="1">
      <alignment horizontal="center" vertical="center"/>
    </xf>
    <xf borderId="6" fillId="6" fontId="3" numFmtId="0" xfId="0" applyBorder="1" applyFont="1"/>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2" fillId="0" fontId="9" numFmtId="0" xfId="0" applyAlignment="1" applyBorder="1" applyFont="1">
      <alignment horizontal="center"/>
    </xf>
    <xf borderId="8" fillId="9" fontId="6" numFmtId="0" xfId="0" applyAlignment="1" applyBorder="1" applyFont="1">
      <alignment vertical="center"/>
    </xf>
    <xf borderId="6" fillId="6" fontId="6" numFmtId="9" xfId="0" applyAlignment="1" applyBorder="1" applyFont="1" applyNumberFormat="1">
      <alignment horizontal="center"/>
    </xf>
    <xf borderId="2" fillId="0" fontId="40" numFmtId="0" xfId="0" applyAlignment="1" applyBorder="1" applyFont="1">
      <alignment horizontal="center"/>
    </xf>
    <xf borderId="8" fillId="9" fontId="6" numFmtId="0" xfId="0" applyAlignment="1" applyBorder="1" applyFont="1">
      <alignment horizontal="left" vertical="center"/>
    </xf>
    <xf borderId="2" fillId="0" fontId="39" numFmtId="0" xfId="0" applyAlignment="1" applyBorder="1" applyFont="1">
      <alignment horizontal="center"/>
    </xf>
    <xf borderId="8" fillId="9" fontId="3" numFmtId="0" xfId="0" applyAlignment="1" applyBorder="1" applyFont="1">
      <alignment horizontal="left" vertical="center"/>
    </xf>
    <xf borderId="6" fillId="6" fontId="3" numFmtId="9" xfId="0" applyBorder="1" applyFont="1" applyNumberFormat="1"/>
    <xf borderId="6" fillId="6" fontId="3" numFmtId="175"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6" fillId="6" fontId="6" numFmtId="9" xfId="0" applyBorder="1" applyFont="1" applyNumberFormat="1"/>
    <xf borderId="6" fillId="0" fontId="3" numFmtId="9" xfId="0" applyBorder="1" applyFont="1" applyNumberFormat="1"/>
    <xf borderId="6" fillId="0" fontId="19" numFmtId="168" xfId="0" applyBorder="1" applyFont="1" applyNumberFormat="1"/>
    <xf borderId="26" fillId="0" fontId="19" numFmtId="168" xfId="0" applyBorder="1" applyFont="1" applyNumberFormat="1"/>
    <xf borderId="6" fillId="0" fontId="26" numFmtId="165" xfId="0" applyBorder="1" applyFont="1" applyNumberFormat="1"/>
    <xf borderId="6" fillId="0" fontId="26" numFmtId="9" xfId="0" applyBorder="1" applyFont="1" applyNumberFormat="1"/>
    <xf borderId="6" fillId="0" fontId="19" numFmtId="165" xfId="0" applyBorder="1" applyFont="1" applyNumberFormat="1"/>
    <xf borderId="6" fillId="0" fontId="19" numFmtId="167" xfId="0" applyBorder="1" applyFont="1" applyNumberFormat="1"/>
    <xf borderId="0" fillId="0" fontId="26" numFmtId="0" xfId="0" applyAlignment="1" applyFont="1">
      <alignment horizontal="center"/>
    </xf>
    <xf borderId="0" fillId="0" fontId="26" numFmtId="9" xfId="0" applyAlignment="1" applyFont="1" applyNumberFormat="1">
      <alignment horizontal="center"/>
    </xf>
    <xf borderId="0" fillId="0" fontId="26" numFmtId="10" xfId="0" applyAlignment="1" applyFont="1" applyNumberFormat="1">
      <alignment horizontal="center"/>
    </xf>
    <xf borderId="6" fillId="0" fontId="26" numFmtId="168" xfId="0" applyBorder="1" applyFont="1" applyNumberFormat="1"/>
    <xf borderId="14" fillId="5" fontId="19" numFmtId="0" xfId="0" applyBorder="1" applyFont="1"/>
    <xf borderId="14" fillId="6" fontId="19" numFmtId="0" xfId="0" applyBorder="1" applyFont="1"/>
    <xf borderId="6" fillId="0" fontId="19" numFmtId="1" xfId="0" applyBorder="1" applyFont="1" applyNumberFormat="1"/>
    <xf borderId="6" fillId="6" fontId="19" numFmtId="0" xfId="0" applyBorder="1" applyFont="1"/>
    <xf borderId="6" fillId="6" fontId="19" numFmtId="9" xfId="0" applyBorder="1" applyFont="1" applyNumberFormat="1"/>
    <xf borderId="6" fillId="5" fontId="26" numFmtId="166" xfId="0" applyBorder="1" applyFont="1" applyNumberFormat="1"/>
    <xf borderId="6" fillId="0" fontId="19" numFmtId="166" xfId="0" applyBorder="1" applyFont="1" applyNumberFormat="1"/>
    <xf borderId="6" fillId="0" fontId="58" numFmtId="164" xfId="0" applyBorder="1" applyFont="1" applyNumberFormat="1"/>
    <xf borderId="2" fillId="0" fontId="58" numFmtId="164" xfId="0" applyBorder="1" applyFont="1" applyNumberFormat="1"/>
    <xf borderId="6" fillId="0" fontId="59" numFmtId="164" xfId="0" applyBorder="1" applyFont="1" applyNumberFormat="1"/>
    <xf borderId="6" fillId="0" fontId="58" numFmtId="0" xfId="0" applyBorder="1" applyFont="1"/>
    <xf borderId="26" fillId="0" fontId="58" numFmtId="164" xfId="0" applyBorder="1" applyFont="1" applyNumberFormat="1"/>
    <xf borderId="6" fillId="0" fontId="58" numFmtId="168" xfId="0" applyBorder="1" applyFont="1" applyNumberFormat="1"/>
    <xf borderId="0" fillId="0" fontId="3" numFmtId="168" xfId="0" applyFont="1" applyNumberFormat="1"/>
    <xf borderId="6" fillId="0" fontId="58" numFmtId="0" xfId="0" applyAlignment="1" applyBorder="1" applyFont="1">
      <alignment shrinkToFit="0" wrapText="1"/>
    </xf>
    <xf borderId="6" fillId="0" fontId="60" numFmtId="0" xfId="0" applyBorder="1" applyFont="1"/>
    <xf borderId="6" fillId="0" fontId="26" numFmtId="0" xfId="0" applyAlignment="1" applyBorder="1" applyFont="1">
      <alignment shrinkToFit="0" wrapText="1"/>
    </xf>
    <xf borderId="0" fillId="0" fontId="19" numFmtId="170" xfId="0" applyFont="1" applyNumberFormat="1"/>
    <xf borderId="0" fillId="0" fontId="19" numFmtId="1" xfId="0" applyFont="1" applyNumberFormat="1"/>
    <xf borderId="10" fillId="9" fontId="6" numFmtId="0" xfId="0" applyAlignment="1" applyBorder="1" applyFont="1">
      <alignment shrinkToFit="0" wrapText="1"/>
    </xf>
    <xf borderId="6" fillId="0" fontId="3" numFmtId="0" xfId="0" applyAlignment="1" applyBorder="1" applyFont="1">
      <alignment horizontal="center"/>
    </xf>
    <xf borderId="6" fillId="5" fontId="19" numFmtId="0" xfId="0" applyAlignment="1" applyBorder="1" applyFont="1">
      <alignment shrinkToFit="0" wrapText="1"/>
    </xf>
    <xf borderId="6" fillId="5" fontId="19" numFmtId="164" xfId="0" applyAlignment="1" applyBorder="1" applyFont="1" applyNumberFormat="1">
      <alignment shrinkToFit="0" wrapText="1"/>
    </xf>
    <xf borderId="0" fillId="0" fontId="26" numFmtId="164" xfId="0" applyFont="1" applyNumberFormat="1"/>
    <xf borderId="6" fillId="5" fontId="19" numFmtId="165" xfId="0" applyBorder="1" applyFont="1" applyNumberFormat="1"/>
    <xf borderId="6" fillId="5" fontId="19" numFmtId="164" xfId="0" applyBorder="1" applyFont="1" applyNumberFormat="1"/>
    <xf borderId="0" fillId="0" fontId="19" numFmtId="165" xfId="0" applyFont="1" applyNumberFormat="1"/>
    <xf borderId="4" fillId="0" fontId="19" numFmtId="164" xfId="0" applyBorder="1" applyFont="1" applyNumberFormat="1"/>
    <xf borderId="6" fillId="0" fontId="26" numFmtId="164" xfId="0" applyAlignment="1" applyBorder="1" applyFont="1" applyNumberFormat="1">
      <alignment shrinkToFit="0" wrapText="1"/>
    </xf>
    <xf borderId="6" fillId="5" fontId="26" numFmtId="164" xfId="0" applyBorder="1" applyFont="1" applyNumberFormat="1"/>
    <xf borderId="36" fillId="9" fontId="10" numFmtId="0" xfId="0" applyAlignment="1" applyBorder="1" applyFont="1">
      <alignment shrinkToFit="0" vertical="center" wrapText="1"/>
    </xf>
    <xf borderId="37" fillId="9" fontId="10" numFmtId="0" xfId="0" applyAlignment="1" applyBorder="1" applyFont="1">
      <alignment horizontal="left" shrinkToFit="0" vertical="center" wrapText="1"/>
    </xf>
    <xf borderId="36" fillId="9" fontId="10" numFmtId="0" xfId="0" applyAlignment="1" applyBorder="1" applyFont="1">
      <alignment horizontal="right" shrinkToFit="0" vertical="center" wrapText="1"/>
    </xf>
    <xf borderId="37" fillId="9" fontId="10" numFmtId="0" xfId="0" applyAlignment="1" applyBorder="1" applyFont="1">
      <alignment shrinkToFit="0" vertical="center" wrapText="1"/>
    </xf>
    <xf borderId="37" fillId="9" fontId="10" numFmtId="0" xfId="0" applyAlignment="1" applyBorder="1" applyFont="1">
      <alignment horizontal="center" shrinkToFit="0" vertical="center" wrapText="1"/>
    </xf>
    <xf borderId="38" fillId="0" fontId="2" numFmtId="0" xfId="0" applyBorder="1" applyFont="1"/>
    <xf borderId="23" fillId="9" fontId="10" numFmtId="0" xfId="0" applyAlignment="1" applyBorder="1" applyFont="1">
      <alignment horizontal="left" shrinkToFit="0" vertical="center" wrapText="1"/>
    </xf>
    <xf borderId="23" fillId="9" fontId="10" numFmtId="0" xfId="0" applyAlignment="1" applyBorder="1" applyFont="1">
      <alignment shrinkToFit="0" vertical="center" wrapText="1"/>
    </xf>
    <xf borderId="23" fillId="9" fontId="10" numFmtId="0" xfId="0" applyAlignment="1" applyBorder="1" applyFont="1">
      <alignment horizontal="center" shrinkToFit="0" vertical="center" wrapText="1"/>
    </xf>
    <xf borderId="38" fillId="0" fontId="61" numFmtId="0" xfId="0" applyAlignment="1" applyBorder="1" applyFont="1">
      <alignment shrinkToFit="0" vertical="center" wrapText="1"/>
    </xf>
    <xf borderId="24" fillId="0" fontId="61" numFmtId="0" xfId="0" applyAlignment="1" applyBorder="1" applyFont="1">
      <alignment shrinkToFit="0" vertical="center" wrapText="1"/>
    </xf>
    <xf borderId="39" fillId="0" fontId="2" numFmtId="0" xfId="0" applyBorder="1" applyFont="1"/>
    <xf borderId="40" fillId="0" fontId="61" numFmtId="0" xfId="0" applyAlignment="1" applyBorder="1" applyFont="1">
      <alignment shrinkToFit="0" vertical="center" wrapText="1"/>
    </xf>
    <xf borderId="40" fillId="0" fontId="62" numFmtId="0" xfId="0" applyAlignment="1" applyBorder="1" applyFont="1">
      <alignment shrinkToFit="0" vertical="center" wrapText="1"/>
    </xf>
    <xf borderId="38" fillId="0" fontId="62" numFmtId="0" xfId="0" applyAlignment="1" applyBorder="1" applyFont="1">
      <alignment shrinkToFit="0" vertical="center" wrapText="1"/>
    </xf>
    <xf borderId="40" fillId="0" fontId="62" numFmtId="0" xfId="0" applyAlignment="1" applyBorder="1" applyFont="1">
      <alignment horizontal="right" shrinkToFit="0" vertical="center" wrapText="1"/>
    </xf>
    <xf borderId="40" fillId="0" fontId="62" numFmtId="0" xfId="0" applyAlignment="1" applyBorder="1" applyFont="1">
      <alignment horizontal="center" shrinkToFit="0" vertical="center" wrapText="1"/>
    </xf>
    <xf borderId="40" fillId="0" fontId="62" numFmtId="0" xfId="0" applyAlignment="1" applyBorder="1" applyFont="1">
      <alignment horizontal="left" shrinkToFit="0" vertical="center" wrapText="1"/>
    </xf>
    <xf borderId="39" fillId="0" fontId="61" numFmtId="0" xfId="0" applyAlignment="1" applyBorder="1" applyFont="1">
      <alignment shrinkToFit="0" vertical="center" wrapText="1"/>
    </xf>
    <xf borderId="25" fillId="0" fontId="61" numFmtId="0" xfId="0" applyAlignment="1" applyBorder="1" applyFont="1">
      <alignment shrinkToFit="0" vertical="center" wrapText="1"/>
    </xf>
    <xf borderId="40" fillId="0" fontId="62" numFmtId="3" xfId="0" applyAlignment="1" applyBorder="1" applyFont="1" applyNumberFormat="1">
      <alignment horizontal="right" shrinkToFit="0" vertical="center" wrapText="1"/>
    </xf>
    <xf borderId="41" fillId="9" fontId="26" numFmtId="0" xfId="0" applyAlignment="1" applyBorder="1" applyFont="1">
      <alignment shrinkToFit="0" vertical="center" wrapText="1"/>
    </xf>
    <xf borderId="37" fillId="9" fontId="26" numFmtId="0" xfId="0" applyAlignment="1" applyBorder="1" applyFont="1">
      <alignment shrinkToFit="0" vertical="center" wrapText="1"/>
    </xf>
    <xf borderId="42" fillId="9" fontId="59" numFmtId="0" xfId="0" applyAlignment="1" applyBorder="1" applyFont="1">
      <alignment shrinkToFit="0" vertical="center" wrapText="1"/>
    </xf>
    <xf borderId="43" fillId="0" fontId="2" numFmtId="0" xfId="0" applyBorder="1" applyFont="1"/>
    <xf borderId="44" fillId="0" fontId="2" numFmtId="0" xfId="0" applyBorder="1" applyFont="1"/>
    <xf borderId="37" fillId="9" fontId="59" numFmtId="0" xfId="0" applyAlignment="1" applyBorder="1" applyFont="1">
      <alignment shrinkToFit="0" vertical="center" wrapText="1"/>
    </xf>
    <xf borderId="45" fillId="9" fontId="10" numFmtId="0" xfId="0" applyAlignment="1" applyBorder="1" applyFont="1">
      <alignment shrinkToFit="0" vertical="center" wrapText="1"/>
    </xf>
    <xf borderId="46" fillId="9" fontId="63" numFmtId="0" xfId="0" applyAlignment="1" applyBorder="1" applyFont="1">
      <alignment shrinkToFit="0" vertical="center" wrapText="1"/>
    </xf>
    <xf borderId="46" fillId="9" fontId="10" numFmtId="0" xfId="0" applyAlignment="1" applyBorder="1" applyFont="1">
      <alignment horizontal="center" shrinkToFit="0" vertical="center" wrapText="1"/>
    </xf>
    <xf borderId="47" fillId="9" fontId="10" numFmtId="0" xfId="0" applyAlignment="1" applyBorder="1" applyFont="1">
      <alignment horizontal="left" shrinkToFit="0" vertical="center" wrapText="1"/>
    </xf>
    <xf borderId="48" fillId="0" fontId="2" numFmtId="0" xfId="0" applyBorder="1" applyFont="1"/>
    <xf borderId="49" fillId="0" fontId="2" numFmtId="0" xfId="0" applyBorder="1" applyFont="1"/>
    <xf borderId="46" fillId="9" fontId="64" numFmtId="0" xfId="0" applyAlignment="1" applyBorder="1" applyFont="1">
      <alignment shrinkToFit="0" vertical="center" wrapText="1"/>
    </xf>
    <xf borderId="45" fillId="9" fontId="3" numFmtId="0" xfId="0" applyAlignment="1" applyBorder="1" applyFont="1">
      <alignment shrinkToFit="0" vertical="top" wrapText="1"/>
    </xf>
    <xf borderId="46" fillId="9" fontId="10" numFmtId="0" xfId="0" applyAlignment="1" applyBorder="1" applyFont="1">
      <alignment shrinkToFit="0" vertical="center" wrapText="1"/>
    </xf>
    <xf borderId="36" fillId="9" fontId="10" numFmtId="0" xfId="0" applyAlignment="1" applyBorder="1" applyFont="1">
      <alignment horizontal="left" shrinkToFit="0" vertical="center" wrapText="1"/>
    </xf>
    <xf borderId="46" fillId="9" fontId="61" numFmtId="0" xfId="0" applyAlignment="1" applyBorder="1" applyFont="1">
      <alignment shrinkToFit="0" vertical="center" wrapText="1"/>
    </xf>
    <xf borderId="46" fillId="9" fontId="10" numFmtId="0" xfId="0" applyAlignment="1" applyBorder="1" applyFont="1">
      <alignment horizontal="left" shrinkToFit="0" vertical="center" wrapText="1"/>
    </xf>
    <xf borderId="46" fillId="9" fontId="3" numFmtId="0" xfId="0" applyAlignment="1" applyBorder="1" applyFont="1">
      <alignment shrinkToFit="0" vertical="top" wrapText="1"/>
    </xf>
    <xf borderId="22" fillId="9" fontId="3" numFmtId="0" xfId="0" applyAlignment="1" applyBorder="1" applyFont="1">
      <alignment shrinkToFit="0" vertical="top" wrapText="1"/>
    </xf>
    <xf borderId="23" fillId="9" fontId="3" numFmtId="0" xfId="0" applyAlignment="1" applyBorder="1" applyFont="1">
      <alignment shrinkToFit="0" vertical="top" wrapText="1"/>
    </xf>
    <xf borderId="23" fillId="9" fontId="10" numFmtId="0" xfId="0" applyAlignment="1" applyBorder="1" applyFont="1">
      <alignment horizontal="right" shrinkToFit="0" vertical="center" wrapText="1"/>
    </xf>
    <xf borderId="38" fillId="0" fontId="61" numFmtId="0" xfId="0" applyAlignment="1" applyBorder="1" applyFont="1">
      <alignment horizontal="center" shrinkToFit="0" vertical="center" wrapText="1"/>
    </xf>
    <xf borderId="40" fillId="0" fontId="61" numFmtId="0" xfId="0" applyAlignment="1" applyBorder="1" applyFont="1">
      <alignment horizontal="center" shrinkToFit="0" vertical="center" wrapText="1"/>
    </xf>
    <xf borderId="40" fillId="0" fontId="61" numFmtId="0" xfId="0" applyAlignment="1" applyBorder="1" applyFont="1">
      <alignment horizontal="right" shrinkToFit="0" vertical="center" wrapText="1"/>
    </xf>
    <xf borderId="24" fillId="0" fontId="65" numFmtId="0" xfId="0" applyAlignment="1" applyBorder="1" applyFont="1">
      <alignment horizontal="center" shrinkToFit="0" vertical="center" wrapText="1"/>
    </xf>
    <xf borderId="38" fillId="0" fontId="66" numFmtId="0" xfId="0" applyAlignment="1" applyBorder="1" applyFont="1">
      <alignment horizontal="center" shrinkToFit="0" vertical="center" wrapText="1"/>
    </xf>
    <xf borderId="50" fillId="0" fontId="66" numFmtId="0" xfId="0" applyAlignment="1" applyBorder="1" applyFont="1">
      <alignment horizontal="center" shrinkToFit="0" vertical="center" wrapText="1"/>
    </xf>
    <xf borderId="40" fillId="0" fontId="66" numFmtId="0" xfId="0" applyAlignment="1" applyBorder="1" applyFont="1">
      <alignment horizontal="center" shrinkToFit="0" vertical="center" wrapText="1"/>
    </xf>
    <xf borderId="51" fillId="0" fontId="66" numFmtId="0" xfId="0" applyAlignment="1" applyBorder="1" applyFont="1">
      <alignment horizontal="center" shrinkToFit="0" vertical="center" wrapText="1"/>
    </xf>
    <xf borderId="40" fillId="0" fontId="66" numFmtId="3" xfId="0" applyAlignment="1" applyBorder="1" applyFont="1" applyNumberFormat="1">
      <alignment horizontal="center" shrinkToFit="0" vertical="center" wrapText="1"/>
    </xf>
    <xf borderId="36" fillId="0" fontId="66" numFmtId="0" xfId="0" applyAlignment="1" applyBorder="1" applyFont="1">
      <alignment horizontal="center" shrinkToFit="0" vertical="center" wrapText="1"/>
    </xf>
    <xf borderId="36" fillId="0" fontId="66" numFmtId="0" xfId="0" applyAlignment="1" applyBorder="1" applyFont="1">
      <alignment shrinkToFit="0" vertical="center" wrapText="1"/>
    </xf>
    <xf borderId="38" fillId="0" fontId="66" numFmtId="0" xfId="0" applyAlignment="1" applyBorder="1" applyFont="1">
      <alignment shrinkToFit="0" vertical="center" wrapText="1"/>
    </xf>
    <xf borderId="40" fillId="0" fontId="66" numFmtId="0" xfId="0" applyAlignment="1" applyBorder="1" applyFont="1">
      <alignment shrinkToFit="0" vertical="center" wrapText="1"/>
    </xf>
    <xf borderId="38" fillId="0" fontId="66" numFmtId="0" xfId="0" applyAlignment="1" applyBorder="1" applyFont="1">
      <alignment horizontal="left" shrinkToFit="0" vertical="center" wrapText="1"/>
    </xf>
    <xf borderId="51" fillId="0" fontId="67" numFmtId="0" xfId="0" applyAlignment="1" applyBorder="1" applyFont="1">
      <alignment shrinkToFit="0" vertical="center" wrapText="1"/>
    </xf>
    <xf borderId="50" fillId="0" fontId="65" numFmtId="0" xfId="0" applyAlignment="1" applyBorder="1" applyFont="1">
      <alignment shrinkToFit="0" vertical="center" wrapText="1"/>
    </xf>
    <xf borderId="50" fillId="0" fontId="67" numFmtId="0" xfId="0" applyAlignment="1" applyBorder="1" applyFont="1">
      <alignment shrinkToFit="0" vertical="center" wrapText="1"/>
    </xf>
    <xf borderId="50" fillId="0" fontId="66" numFmtId="0" xfId="0" applyAlignment="1" applyBorder="1" applyFont="1">
      <alignment shrinkToFit="0" vertical="center" wrapText="1"/>
    </xf>
    <xf borderId="50" fillId="0" fontId="68" numFmtId="0" xfId="0" applyAlignment="1" applyBorder="1" applyFont="1">
      <alignment shrinkToFit="0" vertical="center" wrapText="1"/>
    </xf>
    <xf borderId="50" fillId="0" fontId="69" numFmtId="0" xfId="0" applyAlignment="1" applyBorder="1" applyFont="1">
      <alignment shrinkToFit="0" vertical="center" wrapText="1"/>
    </xf>
    <xf borderId="51" fillId="0" fontId="2" numFmtId="0" xfId="0" applyBorder="1" applyFont="1"/>
    <xf borderId="50" fillId="0" fontId="66" numFmtId="0" xfId="0" applyAlignment="1" applyBorder="1" applyFont="1">
      <alignment horizontal="left" shrinkToFit="0" vertical="center" wrapText="1"/>
    </xf>
    <xf borderId="40" fillId="0" fontId="70" numFmtId="0" xfId="0" applyAlignment="1" applyBorder="1" applyFont="1">
      <alignment shrinkToFit="0" vertical="center" wrapText="1"/>
    </xf>
    <xf borderId="40" fillId="0" fontId="66" numFmtId="0" xfId="0" applyAlignment="1" applyBorder="1" applyFont="1">
      <alignment horizontal="left" shrinkToFit="0" vertical="center" wrapText="1"/>
    </xf>
    <xf borderId="40" fillId="0" fontId="66" numFmtId="3" xfId="0" applyAlignment="1" applyBorder="1" applyFont="1" applyNumberFormat="1">
      <alignment horizontal="right" shrinkToFit="0" vertical="center" wrapText="1"/>
    </xf>
    <xf borderId="40" fillId="0" fontId="3" numFmtId="0" xfId="0" applyAlignment="1" applyBorder="1" applyFont="1">
      <alignment shrinkToFit="0" vertical="top" wrapText="1"/>
    </xf>
    <xf borderId="40" fillId="0" fontId="66" numFmtId="0" xfId="0" applyAlignment="1" applyBorder="1" applyFont="1">
      <alignment horizontal="right" shrinkToFit="0" vertical="center" wrapText="1"/>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externalLink" Target="externalLinks/externalLink1.xml"/><Relationship Id="rId12" Type="http://schemas.openxmlformats.org/officeDocument/2006/relationships/worksheet" Target="worksheets/sheet9.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29"/>
    <col customWidth="1" min="4" max="4" width="20.71"/>
    <col customWidth="1" min="5" max="5" width="29.43"/>
    <col customWidth="1" min="6" max="11" width="9.14"/>
  </cols>
  <sheetData>
    <row r="1" ht="25.5" customHeight="1">
      <c r="A1" s="1" t="s">
        <v>0</v>
      </c>
      <c r="B1" s="2"/>
      <c r="C1" s="2"/>
      <c r="D1" s="2"/>
      <c r="E1" s="2"/>
      <c r="F1" s="3"/>
      <c r="G1" s="3"/>
      <c r="H1" s="3"/>
      <c r="I1" s="3"/>
      <c r="J1" s="3"/>
      <c r="K1" s="3"/>
    </row>
    <row r="2" ht="25.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4.5" customHeight="1">
      <c r="A8" s="8" t="s">
        <v>7</v>
      </c>
      <c r="B8" s="5"/>
      <c r="C8" s="5"/>
      <c r="D8" s="5"/>
      <c r="E8" s="6"/>
      <c r="F8" s="3"/>
      <c r="G8" s="3"/>
      <c r="H8" s="3"/>
      <c r="I8" s="3"/>
      <c r="J8" s="3"/>
      <c r="K8" s="3"/>
    </row>
    <row r="9">
      <c r="A9" s="7" t="s">
        <v>8</v>
      </c>
      <c r="B9" s="5"/>
      <c r="C9" s="5"/>
      <c r="D9" s="5"/>
      <c r="E9" s="6"/>
      <c r="F9" s="3"/>
      <c r="G9" s="3"/>
      <c r="H9" s="3"/>
      <c r="I9" s="3"/>
      <c r="J9" s="3"/>
      <c r="K9" s="3"/>
    </row>
    <row r="10">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c r="A12" s="12"/>
      <c r="B12" s="11" t="s">
        <v>12</v>
      </c>
      <c r="C12" s="5"/>
      <c r="D12" s="5"/>
      <c r="E12" s="6"/>
      <c r="F12" s="3"/>
      <c r="G12" s="3"/>
      <c r="H12" s="3"/>
      <c r="I12" s="3"/>
      <c r="J12" s="3"/>
      <c r="K12" s="3"/>
    </row>
    <row r="13">
      <c r="A13" s="13"/>
      <c r="B13" s="5"/>
      <c r="C13" s="5"/>
      <c r="D13" s="5"/>
      <c r="E13" s="6"/>
      <c r="F13" s="3"/>
      <c r="G13" s="3"/>
      <c r="H13" s="3"/>
      <c r="I13" s="3"/>
      <c r="J13" s="3"/>
      <c r="K13" s="3"/>
    </row>
    <row r="14">
      <c r="A14" s="7" t="s">
        <v>13</v>
      </c>
      <c r="B14" s="5"/>
      <c r="C14" s="5"/>
      <c r="D14" s="5"/>
      <c r="E14" s="6"/>
      <c r="F14" s="3"/>
      <c r="G14" s="3"/>
      <c r="H14" s="3"/>
      <c r="I14" s="3"/>
      <c r="J14" s="3"/>
      <c r="K14" s="3"/>
    </row>
    <row r="15">
      <c r="A15" s="14" t="s">
        <v>14</v>
      </c>
      <c r="B15" s="14" t="s">
        <v>15</v>
      </c>
      <c r="C15" s="14" t="s">
        <v>16</v>
      </c>
      <c r="D15" s="14" t="s">
        <v>17</v>
      </c>
      <c r="E15" s="14" t="s">
        <v>18</v>
      </c>
      <c r="F15" s="3"/>
      <c r="G15" s="3"/>
      <c r="H15" s="3"/>
      <c r="I15" s="3"/>
      <c r="J15" s="3"/>
      <c r="K15" s="3"/>
    </row>
    <row r="16">
      <c r="A16" s="15" t="s">
        <v>19</v>
      </c>
      <c r="B16" s="15" t="s">
        <v>20</v>
      </c>
      <c r="C16" s="15"/>
      <c r="D16" s="15"/>
      <c r="E16" s="15"/>
      <c r="F16" s="3"/>
      <c r="G16" s="3"/>
      <c r="H16" s="3"/>
      <c r="I16" s="3"/>
      <c r="J16" s="3"/>
      <c r="K16" s="3"/>
    </row>
    <row r="17">
      <c r="A17" s="16" t="s">
        <v>21</v>
      </c>
      <c r="B17" s="17" t="s">
        <v>22</v>
      </c>
      <c r="C17" s="17" t="s">
        <v>23</v>
      </c>
      <c r="D17" s="17" t="s">
        <v>24</v>
      </c>
      <c r="E17" s="17"/>
      <c r="F17" s="3"/>
      <c r="G17" s="3"/>
      <c r="H17" s="3"/>
      <c r="I17" s="3"/>
      <c r="J17" s="3"/>
      <c r="K17" s="3"/>
    </row>
    <row r="18">
      <c r="A18" s="16" t="s">
        <v>25</v>
      </c>
      <c r="B18" s="17" t="s">
        <v>26</v>
      </c>
      <c r="C18" s="17" t="s">
        <v>27</v>
      </c>
      <c r="D18" s="17" t="s">
        <v>28</v>
      </c>
      <c r="E18" s="17"/>
      <c r="F18" s="3"/>
      <c r="G18" s="3"/>
      <c r="H18" s="3"/>
      <c r="I18" s="3"/>
      <c r="J18" s="3"/>
      <c r="K18" s="3"/>
    </row>
    <row r="19" ht="25.5" customHeight="1">
      <c r="A19" s="16" t="s">
        <v>29</v>
      </c>
      <c r="B19" s="18" t="s">
        <v>30</v>
      </c>
      <c r="C19" s="17" t="s">
        <v>31</v>
      </c>
      <c r="D19" s="17" t="s">
        <v>32</v>
      </c>
      <c r="E19" s="17" t="s">
        <v>33</v>
      </c>
      <c r="F19" s="3"/>
      <c r="G19" s="3"/>
      <c r="H19" s="3"/>
      <c r="I19" s="3"/>
      <c r="J19" s="3"/>
      <c r="K19" s="3"/>
    </row>
    <row r="20">
      <c r="A20" s="16" t="s">
        <v>34</v>
      </c>
      <c r="B20" s="17" t="s">
        <v>35</v>
      </c>
      <c r="C20" s="17"/>
      <c r="D20" s="17"/>
      <c r="E20" s="17"/>
      <c r="F20" s="3"/>
      <c r="G20" s="3"/>
      <c r="H20" s="3"/>
      <c r="I20" s="3"/>
      <c r="J20" s="3"/>
      <c r="K20" s="3"/>
    </row>
    <row r="21">
      <c r="A21" s="17">
        <v>4.1</v>
      </c>
      <c r="B21" s="17" t="s">
        <v>36</v>
      </c>
      <c r="C21" s="19" t="s">
        <v>37</v>
      </c>
      <c r="D21" s="17" t="s">
        <v>38</v>
      </c>
      <c r="E21" s="17"/>
      <c r="F21" s="3"/>
      <c r="G21" s="3"/>
      <c r="H21" s="3"/>
      <c r="I21" s="3"/>
      <c r="J21" s="3"/>
      <c r="K21" s="3"/>
    </row>
    <row r="22">
      <c r="A22" s="17">
        <v>4.2</v>
      </c>
      <c r="B22" s="17" t="s">
        <v>39</v>
      </c>
      <c r="C22" s="20"/>
      <c r="D22" s="17" t="s">
        <v>40</v>
      </c>
      <c r="E22" s="17"/>
      <c r="F22" s="3"/>
      <c r="G22" s="3"/>
      <c r="H22" s="3"/>
      <c r="I22" s="3"/>
      <c r="J22" s="3"/>
      <c r="K22" s="3"/>
    </row>
    <row r="23">
      <c r="A23" s="17">
        <v>4.3</v>
      </c>
      <c r="B23" s="17" t="s">
        <v>41</v>
      </c>
      <c r="C23" s="20"/>
      <c r="D23" s="17" t="s">
        <v>42</v>
      </c>
      <c r="E23" s="17"/>
      <c r="F23" s="3"/>
      <c r="G23" s="3"/>
      <c r="H23" s="3"/>
      <c r="I23" s="3"/>
      <c r="J23" s="3"/>
      <c r="K23" s="3"/>
    </row>
    <row r="24">
      <c r="A24" s="17">
        <v>4.4</v>
      </c>
      <c r="B24" s="17" t="s">
        <v>43</v>
      </c>
      <c r="C24" s="20"/>
      <c r="D24" s="17" t="s">
        <v>44</v>
      </c>
      <c r="E24" s="17"/>
      <c r="F24" s="3"/>
      <c r="G24" s="3"/>
      <c r="H24" s="3"/>
      <c r="I24" s="3"/>
      <c r="J24" s="3"/>
      <c r="K24" s="3"/>
    </row>
    <row r="25">
      <c r="A25" s="17">
        <v>4.5</v>
      </c>
      <c r="B25" s="17" t="s">
        <v>45</v>
      </c>
      <c r="C25" s="20"/>
      <c r="D25" s="17" t="s">
        <v>46</v>
      </c>
      <c r="E25" s="17"/>
      <c r="F25" s="3"/>
      <c r="G25" s="3"/>
      <c r="H25" s="3"/>
      <c r="I25" s="3"/>
      <c r="J25" s="3"/>
      <c r="K25" s="3"/>
    </row>
    <row r="26">
      <c r="A26" s="17">
        <v>4.6</v>
      </c>
      <c r="B26" s="17" t="s">
        <v>47</v>
      </c>
      <c r="C26" s="21"/>
      <c r="D26" s="17" t="s">
        <v>48</v>
      </c>
      <c r="E26" s="17"/>
      <c r="F26" s="3"/>
      <c r="G26" s="3"/>
      <c r="H26" s="3"/>
      <c r="I26" s="3"/>
      <c r="J26" s="3"/>
      <c r="K26" s="3"/>
    </row>
    <row r="27">
      <c r="A27" s="16" t="s">
        <v>49</v>
      </c>
      <c r="B27" s="17" t="s">
        <v>50</v>
      </c>
      <c r="C27" s="17" t="s">
        <v>51</v>
      </c>
      <c r="D27" s="17" t="s">
        <v>52</v>
      </c>
      <c r="E27" s="17"/>
      <c r="F27" s="3"/>
      <c r="G27" s="3"/>
      <c r="H27" s="3"/>
      <c r="I27" s="3"/>
      <c r="J27" s="3"/>
      <c r="K27" s="3"/>
    </row>
    <row r="28">
      <c r="A28" s="16" t="s">
        <v>53</v>
      </c>
      <c r="B28" s="17" t="s">
        <v>54</v>
      </c>
      <c r="C28" s="17" t="s">
        <v>55</v>
      </c>
      <c r="D28" s="17" t="s">
        <v>56</v>
      </c>
      <c r="E28" s="17"/>
      <c r="F28" s="3"/>
      <c r="G28" s="3"/>
      <c r="H28" s="3"/>
      <c r="I28" s="3"/>
      <c r="J28" s="3"/>
      <c r="K28" s="3"/>
    </row>
    <row r="29">
      <c r="A29" s="16" t="s">
        <v>57</v>
      </c>
      <c r="B29" s="17" t="s">
        <v>58</v>
      </c>
      <c r="C29" s="17" t="s">
        <v>59</v>
      </c>
      <c r="D29" s="17" t="s">
        <v>60</v>
      </c>
      <c r="E29" s="17"/>
      <c r="F29" s="3"/>
      <c r="G29" s="3"/>
      <c r="H29" s="3"/>
      <c r="I29" s="3"/>
      <c r="J29" s="3"/>
      <c r="K29" s="3"/>
    </row>
    <row r="30">
      <c r="A30" s="15" t="s">
        <v>61</v>
      </c>
      <c r="B30" s="22" t="s">
        <v>62</v>
      </c>
      <c r="C30" s="15"/>
      <c r="D30" s="15"/>
      <c r="E30" s="15"/>
      <c r="F30" s="3"/>
      <c r="G30" s="3"/>
      <c r="H30" s="3"/>
      <c r="I30" s="3"/>
      <c r="J30" s="3"/>
      <c r="K30" s="3"/>
    </row>
    <row r="31" ht="25.5" customHeight="1">
      <c r="A31" s="23" t="s">
        <v>63</v>
      </c>
      <c r="B31" s="17" t="s">
        <v>64</v>
      </c>
      <c r="C31" s="17"/>
      <c r="D31" s="17" t="s">
        <v>65</v>
      </c>
      <c r="E31" s="17" t="s">
        <v>33</v>
      </c>
      <c r="F31" s="3"/>
      <c r="G31" s="3"/>
      <c r="H31" s="3"/>
      <c r="I31" s="3"/>
      <c r="J31" s="3"/>
      <c r="K31" s="3"/>
    </row>
    <row r="32">
      <c r="A32" s="23" t="s">
        <v>66</v>
      </c>
      <c r="B32" s="17" t="s">
        <v>67</v>
      </c>
      <c r="C32" s="17"/>
      <c r="D32" s="17" t="s">
        <v>68</v>
      </c>
      <c r="E32" s="17" t="s">
        <v>33</v>
      </c>
      <c r="F32" s="3"/>
      <c r="G32" s="3"/>
      <c r="H32" s="3"/>
      <c r="I32" s="3"/>
      <c r="J32" s="3"/>
      <c r="K32" s="3"/>
    </row>
    <row r="33">
      <c r="A33" s="23" t="s">
        <v>69</v>
      </c>
      <c r="B33" s="17" t="s">
        <v>70</v>
      </c>
      <c r="C33" s="17"/>
      <c r="D33" s="17" t="s">
        <v>71</v>
      </c>
      <c r="E33" s="17" t="s">
        <v>33</v>
      </c>
      <c r="F33" s="3"/>
      <c r="G33" s="3"/>
      <c r="H33" s="3"/>
      <c r="I33" s="3"/>
      <c r="J33" s="3"/>
      <c r="K33" s="3"/>
    </row>
    <row r="34" ht="34.5" customHeight="1">
      <c r="A34" s="23" t="s">
        <v>72</v>
      </c>
      <c r="B34" s="17" t="s">
        <v>73</v>
      </c>
      <c r="C34" s="17"/>
      <c r="D34" s="17" t="s">
        <v>74</v>
      </c>
      <c r="E34" s="17" t="s">
        <v>33</v>
      </c>
      <c r="F34" s="3"/>
      <c r="G34" s="3"/>
      <c r="H34" s="3"/>
      <c r="I34" s="3"/>
      <c r="J34" s="3"/>
      <c r="K34" s="3"/>
    </row>
    <row r="35" ht="34.5" customHeight="1">
      <c r="A35" s="23" t="s">
        <v>75</v>
      </c>
      <c r="B35" s="17" t="s">
        <v>76</v>
      </c>
      <c r="C35" s="17"/>
      <c r="D35" s="17" t="s">
        <v>77</v>
      </c>
      <c r="E35" s="17" t="s">
        <v>33</v>
      </c>
      <c r="F35" s="3"/>
      <c r="G35" s="3"/>
      <c r="H35" s="3"/>
      <c r="I35" s="3"/>
      <c r="J35" s="3"/>
      <c r="K35" s="3"/>
    </row>
    <row r="36">
      <c r="A36" s="16" t="s">
        <v>78</v>
      </c>
      <c r="B36" s="17" t="s">
        <v>79</v>
      </c>
      <c r="C36" s="17"/>
      <c r="D36" s="17"/>
      <c r="E36" s="17"/>
      <c r="F36" s="3"/>
      <c r="G36" s="3"/>
      <c r="H36" s="3"/>
      <c r="I36" s="3"/>
      <c r="J36" s="3"/>
      <c r="K36" s="3"/>
    </row>
    <row r="37">
      <c r="A37" s="24"/>
      <c r="F37" s="3"/>
      <c r="G37" s="3"/>
      <c r="H37" s="3"/>
      <c r="I37" s="3"/>
      <c r="J37" s="3"/>
      <c r="K37" s="3"/>
    </row>
    <row r="38">
      <c r="A38" s="3"/>
      <c r="B38" s="3"/>
      <c r="C38" s="3"/>
      <c r="D38" s="3"/>
      <c r="E38" s="3"/>
      <c r="F38" s="3"/>
      <c r="G38" s="3"/>
      <c r="H38" s="3"/>
      <c r="I38" s="3"/>
      <c r="J38" s="3"/>
      <c r="K38" s="3"/>
    </row>
    <row r="39">
      <c r="A39" s="3"/>
      <c r="B39" s="3"/>
      <c r="C39" s="3"/>
      <c r="D39" s="3"/>
      <c r="E39" s="3"/>
      <c r="F39" s="3"/>
      <c r="G39" s="3"/>
      <c r="H39" s="3"/>
      <c r="I39" s="3"/>
      <c r="J39" s="3"/>
      <c r="K39" s="3"/>
    </row>
    <row r="40">
      <c r="A40" s="3"/>
      <c r="B40" s="3"/>
      <c r="C40" s="3"/>
      <c r="D40" s="3"/>
      <c r="E40" s="3"/>
      <c r="F40" s="3"/>
      <c r="G40" s="3"/>
      <c r="H40" s="3"/>
      <c r="I40" s="3"/>
      <c r="J40" s="3"/>
      <c r="K40" s="3"/>
    </row>
    <row r="41">
      <c r="A41" s="3"/>
      <c r="B41" s="3"/>
      <c r="C41" s="3"/>
      <c r="D41" s="3"/>
      <c r="E41" s="3"/>
      <c r="F41" s="3"/>
      <c r="G41" s="3"/>
      <c r="H41" s="3"/>
      <c r="I41" s="3"/>
      <c r="J41" s="3"/>
      <c r="K41" s="3"/>
    </row>
    <row r="42">
      <c r="A42" s="3"/>
      <c r="B42" s="3"/>
      <c r="C42" s="3"/>
      <c r="D42" s="3"/>
      <c r="E42" s="3"/>
      <c r="F42" s="3"/>
      <c r="G42" s="3"/>
      <c r="H42" s="3"/>
      <c r="I42" s="3"/>
      <c r="J42" s="3"/>
      <c r="K42" s="3"/>
    </row>
    <row r="43">
      <c r="A43" s="3"/>
      <c r="B43" s="3"/>
      <c r="C43" s="3"/>
      <c r="D43" s="3"/>
      <c r="E43" s="3"/>
      <c r="F43" s="3"/>
      <c r="G43" s="3"/>
      <c r="H43" s="3"/>
      <c r="I43" s="3"/>
      <c r="J43" s="3"/>
      <c r="K43" s="3"/>
    </row>
    <row r="44">
      <c r="A44" s="3"/>
      <c r="B44" s="3"/>
      <c r="C44" s="3"/>
      <c r="D44" s="3"/>
      <c r="E44" s="3"/>
      <c r="F44" s="3"/>
      <c r="G44" s="3"/>
      <c r="H44" s="3"/>
      <c r="I44" s="3"/>
      <c r="J44" s="3"/>
      <c r="K44" s="3"/>
    </row>
    <row r="45">
      <c r="A45" s="3"/>
      <c r="B45" s="3"/>
      <c r="C45" s="3"/>
      <c r="D45" s="3"/>
      <c r="E45" s="3"/>
      <c r="F45" s="3"/>
      <c r="G45" s="3"/>
      <c r="H45" s="3"/>
      <c r="I45" s="3"/>
      <c r="J45" s="3"/>
      <c r="K45" s="3"/>
    </row>
    <row r="46">
      <c r="A46" s="3"/>
      <c r="B46" s="3"/>
      <c r="C46" s="3"/>
      <c r="D46" s="3"/>
      <c r="E46" s="3"/>
      <c r="F46" s="3"/>
      <c r="G46" s="3"/>
      <c r="H46" s="3"/>
      <c r="I46" s="3"/>
      <c r="J46" s="3"/>
      <c r="K46" s="3"/>
    </row>
    <row r="47">
      <c r="A47" s="3"/>
      <c r="B47" s="3"/>
      <c r="C47" s="3"/>
      <c r="D47" s="3"/>
      <c r="E47" s="3"/>
      <c r="F47" s="3"/>
      <c r="G47" s="3"/>
      <c r="H47" s="3"/>
      <c r="I47" s="3"/>
      <c r="J47" s="3"/>
      <c r="K47" s="3"/>
    </row>
    <row r="48">
      <c r="A48" s="3"/>
      <c r="B48" s="3"/>
      <c r="C48" s="3"/>
      <c r="D48" s="3"/>
      <c r="E48" s="3"/>
      <c r="F48" s="3"/>
      <c r="G48" s="3"/>
      <c r="H48" s="3"/>
      <c r="I48" s="3"/>
      <c r="J48" s="3"/>
      <c r="K48" s="3"/>
    </row>
    <row r="49">
      <c r="A49" s="3"/>
      <c r="B49" s="3"/>
      <c r="C49" s="3"/>
      <c r="D49" s="3"/>
      <c r="E49" s="3"/>
      <c r="F49" s="3"/>
      <c r="G49" s="3"/>
      <c r="H49" s="3"/>
      <c r="I49" s="3"/>
      <c r="J49" s="3"/>
      <c r="K49" s="3"/>
    </row>
    <row r="50">
      <c r="A50" s="3"/>
      <c r="B50" s="3"/>
      <c r="C50" s="3"/>
      <c r="D50" s="3"/>
      <c r="E50" s="3"/>
      <c r="F50" s="3"/>
      <c r="G50" s="3"/>
      <c r="H50" s="3"/>
      <c r="I50" s="3"/>
      <c r="J50" s="3"/>
      <c r="K50" s="3"/>
    </row>
    <row r="51">
      <c r="A51" s="3"/>
      <c r="B51" s="3"/>
      <c r="C51" s="3"/>
      <c r="D51" s="3"/>
      <c r="E51" s="3"/>
      <c r="F51" s="3"/>
      <c r="G51" s="3"/>
      <c r="H51" s="3"/>
      <c r="I51" s="3"/>
      <c r="J51" s="3"/>
      <c r="K51" s="3"/>
    </row>
    <row r="52">
      <c r="A52" s="3"/>
      <c r="B52" s="3"/>
      <c r="C52" s="3"/>
      <c r="D52" s="3"/>
      <c r="E52" s="3"/>
      <c r="F52" s="3"/>
      <c r="G52" s="3"/>
      <c r="H52" s="3"/>
      <c r="I52" s="3"/>
      <c r="J52" s="3"/>
      <c r="K52" s="3"/>
    </row>
    <row r="53">
      <c r="A53" s="3"/>
      <c r="B53" s="3"/>
      <c r="C53" s="3"/>
      <c r="D53" s="3"/>
      <c r="E53" s="3"/>
      <c r="F53" s="3"/>
      <c r="G53" s="3"/>
      <c r="H53" s="3"/>
      <c r="I53" s="3"/>
      <c r="J53" s="3"/>
      <c r="K53" s="3"/>
    </row>
    <row r="54">
      <c r="A54" s="3"/>
      <c r="B54" s="3"/>
      <c r="C54" s="3"/>
      <c r="D54" s="3"/>
      <c r="E54" s="3"/>
      <c r="F54" s="3"/>
      <c r="G54" s="3"/>
      <c r="H54" s="3"/>
      <c r="I54" s="3"/>
      <c r="J54" s="3"/>
      <c r="K54" s="3"/>
    </row>
    <row r="55">
      <c r="A55" s="3"/>
      <c r="B55" s="3"/>
      <c r="C55" s="3"/>
      <c r="D55" s="3"/>
      <c r="E55" s="3"/>
      <c r="F55" s="3"/>
      <c r="G55" s="3"/>
      <c r="H55" s="3"/>
      <c r="I55" s="3"/>
      <c r="J55" s="3"/>
      <c r="K55" s="3"/>
    </row>
    <row r="56">
      <c r="A56" s="3"/>
      <c r="B56" s="3"/>
      <c r="C56" s="3"/>
      <c r="D56" s="3"/>
      <c r="E56" s="3"/>
      <c r="F56" s="3"/>
      <c r="G56" s="3"/>
      <c r="H56" s="3"/>
      <c r="I56" s="3"/>
      <c r="J56" s="3"/>
      <c r="K56" s="3"/>
    </row>
    <row r="57">
      <c r="A57" s="3"/>
      <c r="B57" s="3"/>
      <c r="C57" s="3"/>
      <c r="D57" s="3"/>
      <c r="E57" s="3"/>
      <c r="F57" s="3"/>
      <c r="G57" s="3"/>
      <c r="H57" s="3"/>
      <c r="I57" s="3"/>
      <c r="J57" s="3"/>
      <c r="K57" s="3"/>
    </row>
    <row r="58">
      <c r="A58" s="3"/>
      <c r="B58" s="3"/>
      <c r="C58" s="3"/>
      <c r="D58" s="3"/>
      <c r="E58" s="3"/>
      <c r="F58" s="3"/>
      <c r="G58" s="3"/>
      <c r="H58" s="3"/>
      <c r="I58" s="3"/>
      <c r="J58" s="3"/>
      <c r="K58" s="3"/>
    </row>
    <row r="59">
      <c r="A59" s="3"/>
      <c r="B59" s="3"/>
      <c r="C59" s="3"/>
      <c r="D59" s="3"/>
      <c r="E59" s="3"/>
      <c r="F59" s="3"/>
      <c r="G59" s="3"/>
      <c r="H59" s="3"/>
      <c r="I59" s="3"/>
      <c r="J59" s="3"/>
      <c r="K59" s="3"/>
    </row>
    <row r="60">
      <c r="A60" s="3"/>
      <c r="B60" s="3"/>
      <c r="C60" s="3"/>
      <c r="D60" s="3"/>
      <c r="E60" s="3"/>
      <c r="F60" s="3"/>
      <c r="G60" s="3"/>
      <c r="H60" s="3"/>
      <c r="I60" s="3"/>
      <c r="J60" s="3"/>
      <c r="K60" s="3"/>
    </row>
    <row r="61">
      <c r="A61" s="3"/>
      <c r="B61" s="3"/>
      <c r="C61" s="3"/>
      <c r="D61" s="3"/>
      <c r="E61" s="3"/>
      <c r="F61" s="3"/>
      <c r="G61" s="3"/>
      <c r="H61" s="3"/>
      <c r="I61" s="3"/>
      <c r="J61" s="3"/>
      <c r="K61" s="3"/>
    </row>
    <row r="62">
      <c r="A62" s="3"/>
      <c r="B62" s="3"/>
      <c r="C62" s="3"/>
      <c r="D62" s="3"/>
      <c r="E62" s="3"/>
      <c r="F62" s="3"/>
      <c r="G62" s="3"/>
      <c r="H62" s="3"/>
      <c r="I62" s="3"/>
      <c r="J62" s="3"/>
      <c r="K62" s="3"/>
    </row>
    <row r="63">
      <c r="A63" s="3"/>
      <c r="B63" s="3"/>
      <c r="C63" s="3"/>
      <c r="D63" s="3"/>
      <c r="E63" s="3"/>
      <c r="F63" s="3"/>
      <c r="G63" s="3"/>
      <c r="H63" s="3"/>
      <c r="I63" s="3"/>
      <c r="J63" s="3"/>
      <c r="K63" s="3"/>
    </row>
    <row r="64">
      <c r="A64" s="3"/>
      <c r="B64" s="3"/>
      <c r="C64" s="3"/>
      <c r="D64" s="3"/>
      <c r="E64" s="3"/>
      <c r="F64" s="3"/>
      <c r="G64" s="3"/>
      <c r="H64" s="3"/>
      <c r="I64" s="3"/>
      <c r="J64" s="3"/>
      <c r="K64" s="3"/>
    </row>
    <row r="65">
      <c r="A65" s="3"/>
      <c r="B65" s="3"/>
      <c r="C65" s="3"/>
      <c r="D65" s="3"/>
      <c r="E65" s="3"/>
      <c r="F65" s="3"/>
      <c r="G65" s="3"/>
      <c r="H65" s="3"/>
      <c r="I65" s="3"/>
      <c r="J65" s="3"/>
      <c r="K65" s="3"/>
    </row>
    <row r="66">
      <c r="A66" s="3"/>
      <c r="B66" s="3"/>
      <c r="C66" s="3"/>
      <c r="D66" s="3"/>
      <c r="E66" s="3"/>
      <c r="F66" s="3"/>
      <c r="G66" s="3"/>
      <c r="H66" s="3"/>
      <c r="I66" s="3"/>
      <c r="J66" s="3"/>
      <c r="K66" s="3"/>
    </row>
    <row r="67">
      <c r="A67" s="3"/>
      <c r="B67" s="3"/>
      <c r="C67" s="3"/>
      <c r="D67" s="3"/>
      <c r="E67" s="3"/>
      <c r="F67" s="3"/>
      <c r="G67" s="3"/>
      <c r="H67" s="3"/>
      <c r="I67" s="3"/>
      <c r="J67" s="3"/>
      <c r="K67" s="3"/>
    </row>
    <row r="68">
      <c r="A68" s="3"/>
      <c r="B68" s="3"/>
      <c r="C68" s="3"/>
      <c r="D68" s="3"/>
      <c r="E68" s="3"/>
      <c r="F68" s="3"/>
      <c r="G68" s="3"/>
      <c r="H68" s="3"/>
      <c r="I68" s="3"/>
      <c r="J68" s="3"/>
      <c r="K68" s="3"/>
    </row>
    <row r="69">
      <c r="A69" s="3"/>
      <c r="B69" s="3"/>
      <c r="C69" s="3"/>
      <c r="D69" s="3"/>
      <c r="E69" s="3"/>
      <c r="F69" s="3"/>
      <c r="G69" s="3"/>
      <c r="H69" s="3"/>
      <c r="I69" s="3"/>
      <c r="J69" s="3"/>
      <c r="K69" s="3"/>
    </row>
    <row r="70">
      <c r="A70" s="3"/>
      <c r="B70" s="3"/>
      <c r="C70" s="3"/>
      <c r="D70" s="3"/>
      <c r="E70" s="3"/>
      <c r="F70" s="3"/>
      <c r="G70" s="3"/>
      <c r="H70" s="3"/>
      <c r="I70" s="3"/>
      <c r="J70" s="3"/>
      <c r="K70" s="3"/>
    </row>
    <row r="71">
      <c r="A71" s="3"/>
      <c r="B71" s="3"/>
      <c r="C71" s="3"/>
      <c r="D71" s="3"/>
      <c r="E71" s="3"/>
      <c r="F71" s="3"/>
      <c r="G71" s="3"/>
      <c r="H71" s="3"/>
      <c r="I71" s="3"/>
      <c r="J71" s="3"/>
      <c r="K71" s="3"/>
    </row>
    <row r="72">
      <c r="A72" s="3"/>
      <c r="B72" s="3"/>
      <c r="C72" s="3"/>
      <c r="D72" s="3"/>
      <c r="E72" s="3"/>
      <c r="F72" s="3"/>
      <c r="G72" s="3"/>
      <c r="H72" s="3"/>
      <c r="I72" s="3"/>
      <c r="J72" s="3"/>
      <c r="K72" s="3"/>
    </row>
    <row r="73">
      <c r="A73" s="3"/>
      <c r="B73" s="3"/>
      <c r="C73" s="3"/>
      <c r="D73" s="3"/>
      <c r="E73" s="3"/>
      <c r="F73" s="3"/>
      <c r="G73" s="3"/>
      <c r="H73" s="3"/>
      <c r="I73" s="3"/>
      <c r="J73" s="3"/>
      <c r="K73" s="3"/>
    </row>
    <row r="74">
      <c r="A74" s="3"/>
      <c r="B74" s="3"/>
      <c r="C74" s="3"/>
      <c r="D74" s="3"/>
      <c r="E74" s="3"/>
      <c r="F74" s="3"/>
      <c r="G74" s="3"/>
      <c r="H74" s="3"/>
      <c r="I74" s="3"/>
      <c r="J74" s="3"/>
      <c r="K74" s="3"/>
    </row>
    <row r="75">
      <c r="A75" s="3"/>
      <c r="B75" s="3"/>
      <c r="C75" s="3"/>
      <c r="D75" s="3"/>
      <c r="E75" s="3"/>
      <c r="F75" s="3"/>
      <c r="G75" s="3"/>
      <c r="H75" s="3"/>
      <c r="I75" s="3"/>
      <c r="J75" s="3"/>
      <c r="K75" s="3"/>
    </row>
    <row r="76">
      <c r="A76" s="3"/>
      <c r="B76" s="3"/>
      <c r="C76" s="3"/>
      <c r="D76" s="3"/>
      <c r="E76" s="3"/>
      <c r="F76" s="3"/>
      <c r="G76" s="3"/>
      <c r="H76" s="3"/>
      <c r="I76" s="3"/>
      <c r="J76" s="3"/>
      <c r="K76" s="3"/>
    </row>
    <row r="77">
      <c r="A77" s="3"/>
      <c r="B77" s="3"/>
      <c r="C77" s="3"/>
      <c r="D77" s="3"/>
      <c r="E77" s="3"/>
      <c r="F77" s="3"/>
      <c r="G77" s="3"/>
      <c r="H77" s="3"/>
      <c r="I77" s="3"/>
      <c r="J77" s="3"/>
      <c r="K77" s="3"/>
    </row>
    <row r="78">
      <c r="A78" s="3"/>
      <c r="B78" s="3"/>
      <c r="C78" s="3"/>
      <c r="D78" s="3"/>
      <c r="E78" s="3"/>
      <c r="F78" s="3"/>
      <c r="G78" s="3"/>
      <c r="H78" s="3"/>
      <c r="I78" s="3"/>
      <c r="J78" s="3"/>
      <c r="K78" s="3"/>
    </row>
    <row r="79">
      <c r="A79" s="3"/>
      <c r="B79" s="3"/>
      <c r="C79" s="3"/>
      <c r="D79" s="3"/>
      <c r="E79" s="3"/>
      <c r="F79" s="3"/>
      <c r="G79" s="3"/>
      <c r="H79" s="3"/>
      <c r="I79" s="3"/>
      <c r="J79" s="3"/>
      <c r="K79" s="3"/>
    </row>
    <row r="80">
      <c r="A80" s="3"/>
      <c r="B80" s="3"/>
      <c r="C80" s="3"/>
      <c r="D80" s="3"/>
      <c r="E80" s="3"/>
      <c r="F80" s="3"/>
      <c r="G80" s="3"/>
      <c r="H80" s="3"/>
      <c r="I80" s="3"/>
      <c r="J80" s="3"/>
      <c r="K80" s="3"/>
    </row>
    <row r="81">
      <c r="A81" s="3"/>
      <c r="B81" s="3"/>
      <c r="C81" s="3"/>
      <c r="D81" s="3"/>
      <c r="E81" s="3"/>
      <c r="F81" s="3"/>
      <c r="G81" s="3"/>
      <c r="H81" s="3"/>
      <c r="I81" s="3"/>
      <c r="J81" s="3"/>
      <c r="K81" s="3"/>
    </row>
    <row r="82">
      <c r="A82" s="3"/>
      <c r="B82" s="3"/>
      <c r="C82" s="3"/>
      <c r="D82" s="3"/>
      <c r="E82" s="3"/>
      <c r="F82" s="3"/>
      <c r="G82" s="3"/>
      <c r="H82" s="3"/>
      <c r="I82" s="3"/>
      <c r="J82" s="3"/>
      <c r="K82" s="3"/>
    </row>
    <row r="83">
      <c r="A83" s="3"/>
      <c r="B83" s="3"/>
      <c r="C83" s="3"/>
      <c r="D83" s="3"/>
      <c r="E83" s="3"/>
      <c r="F83" s="3"/>
      <c r="G83" s="3"/>
      <c r="H83" s="3"/>
      <c r="I83" s="3"/>
      <c r="J83" s="3"/>
      <c r="K83" s="3"/>
    </row>
    <row r="84">
      <c r="A84" s="3"/>
      <c r="B84" s="3"/>
      <c r="C84" s="3"/>
      <c r="D84" s="3"/>
      <c r="E84" s="3"/>
      <c r="F84" s="3"/>
      <c r="G84" s="3"/>
      <c r="H84" s="3"/>
      <c r="I84" s="3"/>
      <c r="J84" s="3"/>
      <c r="K84" s="3"/>
    </row>
    <row r="85">
      <c r="A85" s="3"/>
      <c r="B85" s="3"/>
      <c r="C85" s="3"/>
      <c r="D85" s="3"/>
      <c r="E85" s="3"/>
      <c r="F85" s="3"/>
      <c r="G85" s="3"/>
      <c r="H85" s="3"/>
      <c r="I85" s="3"/>
      <c r="J85" s="3"/>
      <c r="K85" s="3"/>
    </row>
    <row r="86">
      <c r="A86" s="3"/>
      <c r="B86" s="3"/>
      <c r="C86" s="3"/>
      <c r="D86" s="3"/>
      <c r="E86" s="3"/>
      <c r="F86" s="3"/>
      <c r="G86" s="3"/>
      <c r="H86" s="3"/>
      <c r="I86" s="3"/>
      <c r="J86" s="3"/>
      <c r="K86" s="3"/>
    </row>
    <row r="87">
      <c r="A87" s="3"/>
      <c r="B87" s="3"/>
      <c r="C87" s="3"/>
      <c r="D87" s="3"/>
      <c r="E87" s="3"/>
      <c r="F87" s="3"/>
      <c r="G87" s="3"/>
      <c r="H87" s="3"/>
      <c r="I87" s="3"/>
      <c r="J87" s="3"/>
      <c r="K87" s="3"/>
    </row>
    <row r="88">
      <c r="A88" s="3"/>
      <c r="B88" s="3"/>
      <c r="C88" s="3"/>
      <c r="D88" s="3"/>
      <c r="E88" s="3"/>
      <c r="F88" s="3"/>
      <c r="G88" s="3"/>
      <c r="H88" s="3"/>
      <c r="I88" s="3"/>
      <c r="J88" s="3"/>
      <c r="K88" s="3"/>
    </row>
    <row r="89">
      <c r="A89" s="3"/>
      <c r="B89" s="3"/>
      <c r="C89" s="3"/>
      <c r="D89" s="3"/>
      <c r="E89" s="3"/>
      <c r="F89" s="3"/>
      <c r="G89" s="3"/>
      <c r="H89" s="3"/>
      <c r="I89" s="3"/>
      <c r="J89" s="3"/>
      <c r="K89" s="3"/>
    </row>
    <row r="90">
      <c r="A90" s="3"/>
      <c r="B90" s="3"/>
      <c r="C90" s="3"/>
      <c r="D90" s="3"/>
      <c r="E90" s="3"/>
      <c r="F90" s="3"/>
      <c r="G90" s="3"/>
      <c r="H90" s="3"/>
      <c r="I90" s="3"/>
      <c r="J90" s="3"/>
      <c r="K90" s="3"/>
    </row>
    <row r="91">
      <c r="A91" s="3"/>
      <c r="B91" s="3"/>
      <c r="C91" s="3"/>
      <c r="D91" s="3"/>
      <c r="E91" s="3"/>
      <c r="F91" s="3"/>
      <c r="G91" s="3"/>
      <c r="H91" s="3"/>
      <c r="I91" s="3"/>
      <c r="J91" s="3"/>
      <c r="K91" s="3"/>
    </row>
    <row r="92">
      <c r="A92" s="3"/>
      <c r="B92" s="3"/>
      <c r="C92" s="3"/>
      <c r="D92" s="3"/>
      <c r="E92" s="3"/>
      <c r="F92" s="3"/>
      <c r="G92" s="3"/>
      <c r="H92" s="3"/>
      <c r="I92" s="3"/>
      <c r="J92" s="3"/>
      <c r="K92" s="3"/>
    </row>
    <row r="93">
      <c r="A93" s="3"/>
      <c r="B93" s="3"/>
      <c r="C93" s="3"/>
      <c r="D93" s="3"/>
      <c r="E93" s="3"/>
      <c r="F93" s="3"/>
      <c r="G93" s="3"/>
      <c r="H93" s="3"/>
      <c r="I93" s="3"/>
      <c r="J93" s="3"/>
      <c r="K93" s="3"/>
    </row>
    <row r="94">
      <c r="A94" s="3"/>
      <c r="B94" s="3"/>
      <c r="C94" s="3"/>
      <c r="D94" s="3"/>
      <c r="E94" s="3"/>
      <c r="F94" s="3"/>
      <c r="G94" s="3"/>
      <c r="H94" s="3"/>
      <c r="I94" s="3"/>
      <c r="J94" s="3"/>
      <c r="K94" s="3"/>
    </row>
    <row r="95">
      <c r="A95" s="3"/>
      <c r="B95" s="3"/>
      <c r="C95" s="3"/>
      <c r="D95" s="3"/>
      <c r="E95" s="3"/>
      <c r="F95" s="3"/>
      <c r="G95" s="3"/>
      <c r="H95" s="3"/>
      <c r="I95" s="3"/>
      <c r="J95" s="3"/>
      <c r="K95" s="3"/>
    </row>
    <row r="96">
      <c r="A96" s="3"/>
      <c r="B96" s="3"/>
      <c r="C96" s="3"/>
      <c r="D96" s="3"/>
      <c r="E96" s="3"/>
      <c r="F96" s="3"/>
      <c r="G96" s="3"/>
      <c r="H96" s="3"/>
      <c r="I96" s="3"/>
      <c r="J96" s="3"/>
      <c r="K96" s="3"/>
    </row>
    <row r="97">
      <c r="A97" s="3"/>
      <c r="B97" s="3"/>
      <c r="C97" s="3"/>
      <c r="D97" s="3"/>
      <c r="E97" s="3"/>
      <c r="F97" s="3"/>
      <c r="G97" s="3"/>
      <c r="H97" s="3"/>
      <c r="I97" s="3"/>
      <c r="J97" s="3"/>
      <c r="K97" s="3"/>
    </row>
    <row r="98">
      <c r="A98" s="3"/>
      <c r="B98" s="3"/>
      <c r="C98" s="3"/>
      <c r="D98" s="3"/>
      <c r="E98" s="3"/>
      <c r="F98" s="3"/>
      <c r="G98" s="3"/>
      <c r="H98" s="3"/>
      <c r="I98" s="3"/>
      <c r="J98" s="3"/>
      <c r="K98" s="3"/>
    </row>
    <row r="99">
      <c r="A99" s="3"/>
      <c r="B99" s="3"/>
      <c r="C99" s="3"/>
      <c r="D99" s="3"/>
      <c r="E99" s="3"/>
      <c r="F99" s="3"/>
      <c r="G99" s="3"/>
      <c r="H99" s="3"/>
      <c r="I99" s="3"/>
      <c r="J99" s="3"/>
      <c r="K99" s="3"/>
    </row>
    <row r="100">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86"/>
    <col customWidth="1" min="8" max="9" width="14.86"/>
    <col customWidth="1" min="10" max="10" width="8.71"/>
    <col customWidth="1" min="11" max="11" width="10.0"/>
  </cols>
  <sheetData>
    <row r="1">
      <c r="A1" s="199"/>
    </row>
    <row r="2">
      <c r="A2" s="25" t="s">
        <v>502</v>
      </c>
      <c r="J2" s="121"/>
    </row>
    <row r="3"/>
    <row r="4">
      <c r="A4" s="308" t="s">
        <v>503</v>
      </c>
      <c r="B4" s="308" t="s">
        <v>156</v>
      </c>
      <c r="C4" s="204" t="s">
        <v>137</v>
      </c>
      <c r="D4" s="204" t="s">
        <v>138</v>
      </c>
      <c r="E4" s="204" t="s">
        <v>139</v>
      </c>
      <c r="F4" s="204" t="s">
        <v>140</v>
      </c>
      <c r="G4" s="204" t="s">
        <v>141</v>
      </c>
      <c r="H4" s="204" t="s">
        <v>142</v>
      </c>
      <c r="I4" s="204" t="s">
        <v>143</v>
      </c>
    </row>
    <row r="5">
      <c r="A5" s="309">
        <v>1.0</v>
      </c>
      <c r="B5" s="309" t="s">
        <v>504</v>
      </c>
      <c r="C5" s="310"/>
      <c r="D5" s="310"/>
      <c r="E5" s="310"/>
      <c r="F5" s="310"/>
      <c r="G5" s="310"/>
      <c r="H5" s="310"/>
      <c r="I5" s="310"/>
    </row>
    <row r="6">
      <c r="A6" s="309"/>
      <c r="B6" s="311" t="s">
        <v>505</v>
      </c>
      <c r="C6" s="310" t="str">
        <f>'6.Cons Profit &amp; Loss'!B15</f>
        <v>  149,682,147 </v>
      </c>
      <c r="D6" s="310" t="str">
        <f>'6.Cons Profit &amp; Loss'!C15</f>
        <v>  175,284,374 </v>
      </c>
      <c r="E6" s="310" t="str">
        <f>'6.Cons Profit &amp; Loss'!D15</f>
        <v>  200,748,693 </v>
      </c>
      <c r="F6" s="310" t="str">
        <f>'6.Cons Profit &amp; Loss'!E15</f>
        <v>  228,345,991 </v>
      </c>
      <c r="G6" s="310" t="str">
        <f>'6.Cons Profit &amp; Loss'!F15</f>
        <v>  258,201,146 </v>
      </c>
      <c r="H6" s="310" t="str">
        <f>'6.Cons Profit &amp; Loss'!G15</f>
        <v>  290,470,953 </v>
      </c>
      <c r="I6" s="310" t="str">
        <f>'6.Cons Profit &amp; Loss'!H15</f>
        <v>  325,322,237 </v>
      </c>
    </row>
    <row r="7">
      <c r="A7" s="309">
        <v>2.0</v>
      </c>
      <c r="B7" s="309" t="s">
        <v>506</v>
      </c>
      <c r="C7" s="310" t="str">
        <f>'1.Project Cost and MOF'!E21</f>
        <v>  4,510,173 </v>
      </c>
      <c r="D7" s="310"/>
      <c r="E7" s="310"/>
      <c r="F7" s="310"/>
      <c r="G7" s="310"/>
      <c r="H7" s="310"/>
      <c r="I7" s="310"/>
    </row>
    <row r="8">
      <c r="A8" s="309"/>
      <c r="B8" s="309" t="s">
        <v>507</v>
      </c>
      <c r="C8" s="310"/>
      <c r="D8" s="310"/>
      <c r="E8" s="310"/>
      <c r="F8" s="310"/>
      <c r="G8" s="310"/>
      <c r="H8" s="310"/>
      <c r="I8" s="310"/>
    </row>
    <row r="9">
      <c r="A9" s="309">
        <v>3.0</v>
      </c>
      <c r="B9" s="309" t="str">
        <f>'7.Balance Sheet'!A34</f>
        <v>Smart Grant -in-Aid</v>
      </c>
      <c r="C9" s="310" t="str">
        <f>'1.Project Cost and MOF'!E19</f>
        <v>  16,112,576 </v>
      </c>
      <c r="D9" s="310"/>
      <c r="E9" s="310"/>
      <c r="F9" s="310"/>
      <c r="G9" s="310"/>
      <c r="H9" s="310"/>
      <c r="I9" s="310"/>
    </row>
    <row r="10">
      <c r="A10" s="309">
        <v>4.0</v>
      </c>
      <c r="B10" s="309" t="s">
        <v>508</v>
      </c>
      <c r="C10" s="310" t="str">
        <f>'1.Project Cost and MOF'!E20</f>
        <v>  7,707,474 </v>
      </c>
      <c r="D10" s="310"/>
      <c r="E10" s="310"/>
      <c r="F10" s="310"/>
      <c r="G10" s="310"/>
      <c r="H10" s="310"/>
      <c r="I10" s="310"/>
    </row>
    <row r="11">
      <c r="A11" s="309">
        <v>5.0</v>
      </c>
      <c r="B11" s="309" t="s">
        <v>509</v>
      </c>
      <c r="C11" s="310" t="str">
        <f>'5.Closing Stock &amp; W Capital'!E55*75%</f>
        <v>  4,427,791 </v>
      </c>
      <c r="D11" s="310" t="str">
        <f>'5.Closing Stock &amp; W Capital'!F55</f>
        <v>  6,856,779 </v>
      </c>
      <c r="E11" s="310" t="str">
        <f>'5.Closing Stock &amp; W Capital'!G55</f>
        <v>  7,853,020 </v>
      </c>
      <c r="F11" s="310" t="str">
        <f>'5.Closing Stock &amp; W Capital'!H55</f>
        <v>  8,932,690 </v>
      </c>
      <c r="G11" s="310" t="str">
        <f>'5.Closing Stock &amp; W Capital'!I55</f>
        <v>  10,100,691 </v>
      </c>
      <c r="H11" s="310" t="str">
        <f>'5.Closing Stock &amp; W Capital'!J55</f>
        <v>  11,363,156 </v>
      </c>
      <c r="I11" s="310" t="str">
        <f>'5.Closing Stock &amp; W Capital'!K55</f>
        <v>  12,726,612 </v>
      </c>
    </row>
    <row r="12">
      <c r="A12" s="309"/>
      <c r="B12" s="309" t="s">
        <v>510</v>
      </c>
      <c r="C12" s="312" t="str">
        <f t="shared" ref="C12:I12" si="1">SUM(C6:C11)</f>
        <v>  182,440,161 </v>
      </c>
      <c r="D12" s="312" t="str">
        <f t="shared" si="1"/>
        <v>  182,141,153 </v>
      </c>
      <c r="E12" s="312" t="str">
        <f t="shared" si="1"/>
        <v>  208,601,714 </v>
      </c>
      <c r="F12" s="312" t="str">
        <f t="shared" si="1"/>
        <v>  237,278,681 </v>
      </c>
      <c r="G12" s="312" t="str">
        <f t="shared" si="1"/>
        <v>  268,301,837 </v>
      </c>
      <c r="H12" s="312" t="str">
        <f t="shared" si="1"/>
        <v>  301,834,109 </v>
      </c>
      <c r="I12" s="312" t="str">
        <f t="shared" si="1"/>
        <v>  338,048,849 </v>
      </c>
    </row>
    <row r="13">
      <c r="A13" s="313" t="s">
        <v>511</v>
      </c>
      <c r="B13" s="6"/>
      <c r="C13" s="314"/>
      <c r="D13" s="314"/>
      <c r="E13" s="314"/>
      <c r="F13" s="314"/>
      <c r="G13" s="314"/>
      <c r="H13" s="314"/>
      <c r="I13" s="314"/>
    </row>
    <row r="14">
      <c r="A14" s="309">
        <v>1.0</v>
      </c>
      <c r="B14" s="309" t="s">
        <v>512</v>
      </c>
      <c r="C14" s="314"/>
      <c r="D14" s="314"/>
      <c r="E14" s="314"/>
      <c r="F14" s="314"/>
      <c r="G14" s="314"/>
      <c r="H14" s="314"/>
      <c r="I14" s="314"/>
    </row>
    <row r="15">
      <c r="A15" s="315" t="s">
        <v>513</v>
      </c>
      <c r="B15" s="314" t="str">
        <f t="shared" ref="B15:B16" si="2">'[1]Total Cost of Project'!C3</f>
        <v>#REF!</v>
      </c>
      <c r="C15" s="316" t="str">
        <f>'1.Project Cost and MOF'!D5</f>
        <v>  17,569,762 </v>
      </c>
      <c r="D15" s="316"/>
      <c r="E15" s="316"/>
      <c r="F15" s="316"/>
      <c r="G15" s="316"/>
      <c r="H15" s="316"/>
      <c r="I15" s="316"/>
    </row>
    <row r="16">
      <c r="A16" s="315" t="s">
        <v>514</v>
      </c>
      <c r="B16" s="188" t="str">
        <f t="shared" si="2"/>
        <v>#REF!</v>
      </c>
      <c r="C16" s="316" t="str">
        <f>'1.Project Cost and MOF'!D6</f>
        <v>  7,732,318 </v>
      </c>
      <c r="D16" s="316"/>
      <c r="E16" s="316"/>
      <c r="F16" s="316"/>
      <c r="G16" s="316"/>
      <c r="H16" s="316"/>
      <c r="I16" s="316"/>
    </row>
    <row r="17">
      <c r="A17" s="315" t="s">
        <v>515</v>
      </c>
      <c r="B17" s="188" t="s">
        <v>516</v>
      </c>
      <c r="C17" s="316" t="str">
        <f>'1.Project Cost and MOF'!D7</f>
        <v>  209,000 </v>
      </c>
      <c r="D17" s="316"/>
      <c r="E17" s="316"/>
      <c r="F17" s="316"/>
      <c r="G17" s="316"/>
      <c r="H17" s="316"/>
      <c r="I17" s="316"/>
    </row>
    <row r="18">
      <c r="A18" s="315" t="s">
        <v>517</v>
      </c>
      <c r="B18" s="188" t="s">
        <v>518</v>
      </c>
      <c r="C18" s="316" t="str">
        <f>'1.Project Cost and MOF'!D8</f>
        <v>  180,500 </v>
      </c>
      <c r="D18" s="316"/>
      <c r="E18" s="316"/>
      <c r="F18" s="316"/>
      <c r="G18" s="316"/>
      <c r="H18" s="316"/>
      <c r="I18" s="316"/>
    </row>
    <row r="19">
      <c r="A19" s="315" t="s">
        <v>519</v>
      </c>
      <c r="B19" s="188" t="s">
        <v>295</v>
      </c>
      <c r="C19" s="316" t="str">
        <f>'1.Project Cost and MOF'!D9</f>
        <v>  -   </v>
      </c>
      <c r="D19" s="310"/>
      <c r="E19" s="310"/>
      <c r="F19" s="310"/>
      <c r="G19" s="310"/>
      <c r="H19" s="310"/>
      <c r="I19" s="310"/>
    </row>
    <row r="20">
      <c r="A20" s="315" t="s">
        <v>520</v>
      </c>
      <c r="B20" s="188" t="s">
        <v>521</v>
      </c>
      <c r="C20" s="316" t="str">
        <f>'1.Project Cost and MOF'!D10</f>
        <v>  1,162,713 </v>
      </c>
      <c r="D20" s="310"/>
      <c r="E20" s="310"/>
      <c r="F20" s="310"/>
      <c r="G20" s="310"/>
      <c r="H20" s="310"/>
      <c r="I20" s="310"/>
    </row>
    <row r="21">
      <c r="A21" s="309">
        <v>2.0</v>
      </c>
      <c r="B21" s="309" t="s">
        <v>522</v>
      </c>
      <c r="C21" s="314"/>
      <c r="D21" s="314"/>
      <c r="E21" s="314"/>
      <c r="F21" s="314"/>
      <c r="G21" s="314"/>
      <c r="H21" s="314"/>
      <c r="I21" s="314"/>
    </row>
    <row r="22">
      <c r="A22" s="315" t="s">
        <v>513</v>
      </c>
      <c r="B22" s="314" t="s">
        <v>198</v>
      </c>
      <c r="C22" s="310" t="str">
        <f>'6.Cons Profit &amp; Loss'!B25</f>
        <v>  140,481,590 </v>
      </c>
      <c r="D22" s="310" t="str">
        <f>'6.Cons Profit &amp; Loss'!C25</f>
        <v>  165,067,801 </v>
      </c>
      <c r="E22" s="310" t="str">
        <f>'6.Cons Profit &amp; Loss'!D25</f>
        <v>  189,061,831 </v>
      </c>
      <c r="F22" s="310" t="str">
        <f>'6.Cons Profit &amp; Loss'!E25</f>
        <v>  215,042,759 </v>
      </c>
      <c r="G22" s="310" t="str">
        <f>'6.Cons Profit &amp; Loss'!F25</f>
        <v>  243,149,307 </v>
      </c>
      <c r="H22" s="310" t="str">
        <f>'6.Cons Profit &amp; Loss'!G25</f>
        <v>  273,529,103 </v>
      </c>
      <c r="I22" s="310" t="str">
        <f>'6.Cons Profit &amp; Loss'!H25</f>
        <v>  306,339,224 </v>
      </c>
    </row>
    <row r="23">
      <c r="A23" s="315" t="s">
        <v>514</v>
      </c>
      <c r="B23" s="314" t="s">
        <v>457</v>
      </c>
      <c r="C23" s="310" t="str">
        <f>'6.Cons Profit &amp; Loss'!B36</f>
        <v>  3,396,000 </v>
      </c>
      <c r="D23" s="310" t="str">
        <f>'6.Cons Profit &amp; Loss'!C36</f>
        <v>  3,583,800 </v>
      </c>
      <c r="E23" s="310" t="str">
        <f>'6.Cons Profit &amp; Loss'!D36</f>
        <v>  3,784,590 </v>
      </c>
      <c r="F23" s="310" t="str">
        <f>'6.Cons Profit &amp; Loss'!E36</f>
        <v>  3,999,740 </v>
      </c>
      <c r="G23" s="310" t="str">
        <f>'6.Cons Profit &amp; Loss'!F36</f>
        <v>  4,230,830 </v>
      </c>
      <c r="H23" s="310" t="str">
        <f>'6.Cons Profit &amp; Loss'!G36</f>
        <v>  4,479,697 </v>
      </c>
      <c r="I23" s="310" t="str">
        <f>'6.Cons Profit &amp; Loss'!H36</f>
        <v>  4,748,471 </v>
      </c>
    </row>
    <row r="24">
      <c r="A24" s="317">
        <v>3.0</v>
      </c>
      <c r="B24" s="309" t="s">
        <v>523</v>
      </c>
      <c r="C24" s="310"/>
      <c r="D24" s="310"/>
      <c r="E24" s="310"/>
      <c r="F24" s="310"/>
      <c r="G24" s="310"/>
      <c r="H24" s="310"/>
      <c r="I24" s="310"/>
    </row>
    <row r="25">
      <c r="A25" s="315"/>
      <c r="B25" s="314" t="s">
        <v>524</v>
      </c>
      <c r="C25" s="310" t="str">
        <f>SUM('4.TL repayment sch'!E10:E21)</f>
        <v>  377,569 </v>
      </c>
      <c r="D25" s="310" t="str">
        <f>SUM('4.TL repayment sch'!E22:E33)</f>
        <v>  838,738 </v>
      </c>
      <c r="E25" s="310" t="str">
        <f>SUM('4.TL repayment sch'!E34:E45)</f>
        <v>  963,996 </v>
      </c>
      <c r="F25" s="310" t="str">
        <f>SUM('4.TL repayment sch'!E46:E57)</f>
        <v>  1,107,961 </v>
      </c>
      <c r="G25" s="310" t="str">
        <f>SUM('4.TL repayment sch'!E58:E69)</f>
        <v>  1,273,427 </v>
      </c>
      <c r="H25" s="310" t="str">
        <f>SUM('4.TL repayment sch'!E70:E81)</f>
        <v>  1,463,603 </v>
      </c>
      <c r="I25" s="310" t="str">
        <f>SUM('4.TL repayment sch'!E82:E93)</f>
        <v>  1,682,180 </v>
      </c>
      <c r="K25" s="34" t="str">
        <f>+C25+C26+C28</f>
        <v>  1,977,087 </v>
      </c>
    </row>
    <row r="26">
      <c r="A26" s="315"/>
      <c r="B26" s="314" t="s">
        <v>525</v>
      </c>
      <c r="C26" s="310" t="str">
        <f>SUM('4.TL repayment sch'!D10:D21)</f>
        <v>  1,068,183 </v>
      </c>
      <c r="D26" s="310" t="str">
        <f>SUM('4.TL repayment sch'!D22:D33)</f>
        <v>  973,720 </v>
      </c>
      <c r="E26" s="310" t="str">
        <f>SUM('4.TL repayment sch'!D34:D45)</f>
        <v>  848,461 </v>
      </c>
      <c r="F26" s="310" t="str">
        <f>SUM('4.TL repayment sch'!D46:D57)</f>
        <v>  704,496 </v>
      </c>
      <c r="G26" s="310" t="str">
        <f>SUM('4.TL repayment sch'!D58:D69)</f>
        <v>  539,031 </v>
      </c>
      <c r="H26" s="310" t="str">
        <f>SUM('4.TL repayment sch'!D70:D81)</f>
        <v>  348,855 </v>
      </c>
      <c r="I26" s="310" t="str">
        <f>SUM('4.TL repayment sch'!D82:D93)</f>
        <v>  130,277 </v>
      </c>
    </row>
    <row r="27">
      <c r="A27" s="315"/>
      <c r="B27" s="314" t="s">
        <v>526</v>
      </c>
      <c r="C27" s="310" t="str">
        <f t="shared" ref="C27:I27" si="3">C11</f>
        <v>  4,427,791 </v>
      </c>
      <c r="D27" s="310" t="str">
        <f t="shared" si="3"/>
        <v>  6,856,779 </v>
      </c>
      <c r="E27" s="310" t="str">
        <f t="shared" si="3"/>
        <v>  7,853,020 </v>
      </c>
      <c r="F27" s="310" t="str">
        <f t="shared" si="3"/>
        <v>  8,932,690 </v>
      </c>
      <c r="G27" s="310" t="str">
        <f t="shared" si="3"/>
        <v>  10,100,691 </v>
      </c>
      <c r="H27" s="310" t="str">
        <f t="shared" si="3"/>
        <v>  11,363,156 </v>
      </c>
      <c r="I27" s="310" t="str">
        <f t="shared" si="3"/>
        <v>  12,726,612 </v>
      </c>
    </row>
    <row r="28">
      <c r="A28" s="315"/>
      <c r="B28" s="314" t="s">
        <v>527</v>
      </c>
      <c r="C28" s="318" t="str">
        <f t="shared" ref="C28:I28" si="4">C27*12%</f>
        <v>  531,335 </v>
      </c>
      <c r="D28" s="318" t="str">
        <f t="shared" si="4"/>
        <v>  822,813 </v>
      </c>
      <c r="E28" s="318" t="str">
        <f t="shared" si="4"/>
        <v>  942,362 </v>
      </c>
      <c r="F28" s="318" t="str">
        <f t="shared" si="4"/>
        <v>  1,071,923 </v>
      </c>
      <c r="G28" s="318" t="str">
        <f t="shared" si="4"/>
        <v>  1,212,083 </v>
      </c>
      <c r="H28" s="318" t="str">
        <f t="shared" si="4"/>
        <v>  1,363,579 </v>
      </c>
      <c r="I28" s="318" t="str">
        <f t="shared" si="4"/>
        <v>  1,527,193 </v>
      </c>
    </row>
    <row r="29">
      <c r="A29" s="309">
        <v>4.0</v>
      </c>
      <c r="B29" s="309" t="s">
        <v>528</v>
      </c>
      <c r="C29" s="310" t="str">
        <f>'6.Cons Profit &amp; Loss'!B50</f>
        <v>  250,269 </v>
      </c>
      <c r="D29" s="310" t="str">
        <f>'6.Cons Profit &amp; Loss'!C50</f>
        <v>  513,349 </v>
      </c>
      <c r="E29" s="310" t="str">
        <f>'6.Cons Profit &amp; Loss'!D50</f>
        <v>  929,460 </v>
      </c>
      <c r="F29" s="310" t="str">
        <f>'6.Cons Profit &amp; Loss'!E50</f>
        <v>  1,370,349 </v>
      </c>
      <c r="G29" s="310" t="str">
        <f>'6.Cons Profit &amp; Loss'!F50</f>
        <v>  1,834,582 </v>
      </c>
      <c r="H29" s="310" t="str">
        <f>'6.Cons Profit &amp; Loss'!G50</f>
        <v>  2,386,711 </v>
      </c>
      <c r="I29" s="310" t="str">
        <f>'6.Cons Profit &amp; Loss'!H50</f>
        <v>  2,909,772 </v>
      </c>
    </row>
    <row r="30">
      <c r="A30" s="309"/>
      <c r="B30" s="309" t="s">
        <v>529</v>
      </c>
      <c r="C30" s="312" t="str">
        <f t="shared" ref="C30:I30" si="5">SUM(C15:C29)</f>
        <v>  177,387,029 </v>
      </c>
      <c r="D30" s="312" t="str">
        <f t="shared" si="5"/>
        <v>  178,657,000 </v>
      </c>
      <c r="E30" s="312" t="str">
        <f t="shared" si="5"/>
        <v>  204,383,721 </v>
      </c>
      <c r="F30" s="312" t="str">
        <f t="shared" si="5"/>
        <v>  232,229,918 </v>
      </c>
      <c r="G30" s="312" t="str">
        <f t="shared" si="5"/>
        <v>  262,339,950 </v>
      </c>
      <c r="H30" s="312" t="str">
        <f t="shared" si="5"/>
        <v>  294,934,703 </v>
      </c>
      <c r="I30" s="312" t="str">
        <f t="shared" si="5"/>
        <v>  330,063,730 </v>
      </c>
    </row>
    <row r="31">
      <c r="A31" s="309"/>
      <c r="B31" s="309" t="s">
        <v>530</v>
      </c>
      <c r="C31" s="312" t="str">
        <f t="shared" ref="C31:I31" si="6">C12-C30</f>
        <v>  5,053,132 </v>
      </c>
      <c r="D31" s="312" t="str">
        <f t="shared" si="6"/>
        <v>  3,484,153 </v>
      </c>
      <c r="E31" s="312" t="str">
        <f t="shared" si="6"/>
        <v>  4,217,993 </v>
      </c>
      <c r="F31" s="312" t="str">
        <f t="shared" si="6"/>
        <v>  5,048,763 </v>
      </c>
      <c r="G31" s="312" t="str">
        <f t="shared" si="6"/>
        <v>  5,961,887 </v>
      </c>
      <c r="H31" s="312" t="str">
        <f t="shared" si="6"/>
        <v>  6,899,406 </v>
      </c>
      <c r="I31" s="312" t="str">
        <f t="shared" si="6"/>
        <v>  7,985,119 </v>
      </c>
    </row>
    <row r="32">
      <c r="A32" s="317"/>
      <c r="B32" s="314" t="s">
        <v>531</v>
      </c>
      <c r="C32" s="314"/>
      <c r="D32" s="310" t="str">
        <f t="shared" ref="D32:I32" si="7">C33</f>
        <v>  5,053,132 </v>
      </c>
      <c r="E32" s="310" t="str">
        <f t="shared" si="7"/>
        <v>  8,537,285 </v>
      </c>
      <c r="F32" s="310" t="str">
        <f t="shared" si="7"/>
        <v>  12,755,278 </v>
      </c>
      <c r="G32" s="310" t="str">
        <f t="shared" si="7"/>
        <v>  17,804,042 </v>
      </c>
      <c r="H32" s="310" t="str">
        <f t="shared" si="7"/>
        <v>  23,765,929 </v>
      </c>
      <c r="I32" s="310" t="str">
        <f t="shared" si="7"/>
        <v>  30,665,335 </v>
      </c>
    </row>
    <row r="33">
      <c r="A33" s="309"/>
      <c r="B33" s="319" t="s">
        <v>532</v>
      </c>
      <c r="C33" s="312" t="str">
        <f t="shared" ref="C33:I33" si="8">C31+C32</f>
        <v>  5,053,132 </v>
      </c>
      <c r="D33" s="312" t="str">
        <f t="shared" si="8"/>
        <v>  8,537,285 </v>
      </c>
      <c r="E33" s="312" t="str">
        <f t="shared" si="8"/>
        <v>  12,755,278 </v>
      </c>
      <c r="F33" s="312" t="str">
        <f t="shared" si="8"/>
        <v>  17,804,042 </v>
      </c>
      <c r="G33" s="312" t="str">
        <f t="shared" si="8"/>
        <v>  23,765,929 </v>
      </c>
      <c r="H33" s="312" t="str">
        <f t="shared" si="8"/>
        <v>  30,665,335 </v>
      </c>
      <c r="I33" s="312" t="str">
        <f t="shared" si="8"/>
        <v>  38,650,454 </v>
      </c>
    </row>
    <row r="35" ht="39.75" customHeight="1">
      <c r="A35" s="320" t="s">
        <v>533</v>
      </c>
    </row>
    <row r="37">
      <c r="C37" s="34"/>
    </row>
    <row r="38">
      <c r="C38" s="34"/>
    </row>
    <row r="39">
      <c r="C39" s="34"/>
    </row>
    <row r="40">
      <c r="C40" s="34"/>
    </row>
    <row r="41">
      <c r="C41" s="34"/>
    </row>
  </sheetData>
  <mergeCells count="4">
    <mergeCell ref="A1:G1"/>
    <mergeCell ref="A13:B13"/>
    <mergeCell ref="A2:I2"/>
    <mergeCell ref="A35:J35"/>
  </mergeCells>
  <printOptions/>
  <pageMargins bottom="0.75" footer="0.0" header="0.0" left="0.7" right="0.7" top="0.75"/>
  <pageSetup scale="6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c r="A1" s="25" t="s">
        <v>534</v>
      </c>
    </row>
    <row r="2">
      <c r="B2" s="138"/>
    </row>
    <row r="3">
      <c r="A3" s="321" t="s">
        <v>535</v>
      </c>
      <c r="B3" s="2"/>
    </row>
    <row r="4">
      <c r="A4" s="322" t="s">
        <v>156</v>
      </c>
      <c r="B4" s="323" t="s">
        <v>260</v>
      </c>
      <c r="C4" s="324"/>
      <c r="D4" s="324"/>
      <c r="E4" s="324"/>
      <c r="F4" s="324"/>
      <c r="G4" s="324"/>
      <c r="H4" s="324"/>
    </row>
    <row r="5">
      <c r="A5" s="42" t="s">
        <v>536</v>
      </c>
      <c r="B5" s="325">
        <v>304.0</v>
      </c>
      <c r="C5" s="120"/>
      <c r="D5" s="326"/>
      <c r="E5" s="326"/>
      <c r="F5" s="326"/>
      <c r="G5" s="326"/>
      <c r="H5" s="326"/>
    </row>
    <row r="6">
      <c r="A6" s="42" t="s">
        <v>537</v>
      </c>
      <c r="B6" s="325">
        <v>500.0</v>
      </c>
      <c r="C6" s="120"/>
      <c r="D6" s="326"/>
      <c r="E6" s="326"/>
      <c r="F6" s="326"/>
      <c r="G6" s="326"/>
      <c r="H6" s="326"/>
    </row>
    <row r="7">
      <c r="A7" s="327" t="s">
        <v>88</v>
      </c>
      <c r="B7" s="327" t="str">
        <f>B5+B6</f>
        <v>804</v>
      </c>
      <c r="C7" s="121"/>
      <c r="D7" s="328"/>
      <c r="E7" s="328"/>
      <c r="F7" s="328"/>
      <c r="G7" s="328"/>
      <c r="H7" s="328"/>
    </row>
    <row r="8">
      <c r="A8" s="327" t="s">
        <v>538</v>
      </c>
      <c r="B8" s="329">
        <v>4.0</v>
      </c>
      <c r="C8" s="121"/>
      <c r="D8" s="121"/>
      <c r="E8" s="121"/>
      <c r="F8" s="121"/>
      <c r="G8" s="121"/>
      <c r="H8" s="121"/>
    </row>
    <row r="9">
      <c r="A9" s="327" t="s">
        <v>539</v>
      </c>
      <c r="B9" s="330" t="str">
        <f>B7*B8</f>
        <v>3216</v>
      </c>
      <c r="C9" s="328"/>
      <c r="D9" s="328"/>
      <c r="E9" s="328"/>
      <c r="F9" s="328"/>
      <c r="G9" s="328"/>
      <c r="H9" s="328"/>
    </row>
    <row r="10">
      <c r="J10" t="s">
        <v>540</v>
      </c>
      <c r="O10" t="s">
        <v>422</v>
      </c>
      <c r="U10" t="s">
        <v>16</v>
      </c>
      <c r="Y10" t="s">
        <v>541</v>
      </c>
      <c r="Z10" t="s">
        <v>542</v>
      </c>
    </row>
    <row r="11">
      <c r="A11" s="25" t="s">
        <v>543</v>
      </c>
      <c r="I11" s="121"/>
      <c r="J11" s="121"/>
      <c r="K11" s="121"/>
      <c r="L11" s="121"/>
      <c r="M11" s="121"/>
      <c r="N11" s="121"/>
      <c r="O11" s="121"/>
      <c r="P11" s="121"/>
    </row>
    <row r="12">
      <c r="J12" s="138">
        <v>0.65</v>
      </c>
      <c r="K12" s="331" t="str">
        <f t="shared" ref="K12:N12" si="1">J12+0.05</f>
        <v>70.0%</v>
      </c>
      <c r="L12" s="331" t="str">
        <f t="shared" si="1"/>
        <v>75.0%</v>
      </c>
      <c r="M12" s="331" t="str">
        <f t="shared" si="1"/>
        <v>80.0%</v>
      </c>
      <c r="N12" s="331" t="str">
        <f t="shared" si="1"/>
        <v>85.0%</v>
      </c>
      <c r="O12" s="138">
        <v>0.4</v>
      </c>
      <c r="P12" s="138" t="str">
        <f t="shared" ref="P12:T12" si="2">O12+0.05</f>
        <v>45%</v>
      </c>
      <c r="Q12" s="138" t="str">
        <f t="shared" si="2"/>
        <v>50%</v>
      </c>
      <c r="R12" s="138" t="str">
        <f t="shared" si="2"/>
        <v>55%</v>
      </c>
      <c r="S12" s="138" t="str">
        <f t="shared" si="2"/>
        <v>60%</v>
      </c>
      <c r="T12" s="138" t="str">
        <f t="shared" si="2"/>
        <v>65%</v>
      </c>
      <c r="U12" s="138">
        <v>0.1</v>
      </c>
      <c r="V12" s="80" t="str">
        <f t="shared" ref="V12:X12" si="3">U12+0.05</f>
        <v>15.00%</v>
      </c>
      <c r="W12" s="80" t="str">
        <f t="shared" si="3"/>
        <v>20.00%</v>
      </c>
      <c r="X12" s="80" t="str">
        <f t="shared" si="3"/>
        <v>25.00%</v>
      </c>
    </row>
    <row r="13">
      <c r="A13" s="322" t="s">
        <v>544</v>
      </c>
      <c r="B13" s="322" t="s">
        <v>545</v>
      </c>
      <c r="C13" s="332" t="s">
        <v>546</v>
      </c>
      <c r="D13" s="332" t="s">
        <v>547</v>
      </c>
      <c r="E13" s="332" t="s">
        <v>548</v>
      </c>
      <c r="F13" s="332" t="s">
        <v>549</v>
      </c>
      <c r="G13" s="332" t="s">
        <v>550</v>
      </c>
      <c r="H13" s="332" t="s">
        <v>551</v>
      </c>
      <c r="O13" s="333" t="s">
        <v>137</v>
      </c>
      <c r="P13" s="333" t="s">
        <v>138</v>
      </c>
      <c r="Q13" s="333" t="s">
        <v>139</v>
      </c>
      <c r="R13" s="333" t="s">
        <v>140</v>
      </c>
      <c r="S13" s="333" t="s">
        <v>141</v>
      </c>
      <c r="T13" s="333" t="s">
        <v>137</v>
      </c>
      <c r="U13" s="333" t="s">
        <v>138</v>
      </c>
      <c r="V13" s="333" t="s">
        <v>139</v>
      </c>
      <c r="W13" s="333" t="s">
        <v>140</v>
      </c>
      <c r="X13" s="333" t="s">
        <v>141</v>
      </c>
    </row>
    <row r="14">
      <c r="A14" s="334" t="s">
        <v>552</v>
      </c>
      <c r="B14" s="325" t="s">
        <v>553</v>
      </c>
      <c r="C14" s="335">
        <v>0.6</v>
      </c>
      <c r="D14" s="336" t="str">
        <f t="shared" ref="D14:D22" si="5">$B$9*C14</f>
        <v>1930</v>
      </c>
      <c r="E14" s="337">
        <v>10.0</v>
      </c>
      <c r="F14" s="336" t="str">
        <f t="shared" ref="F14:F22" si="6">D14*E14</f>
        <v>19296</v>
      </c>
      <c r="G14" s="338">
        <v>0.05</v>
      </c>
      <c r="H14" s="336" t="str">
        <f t="shared" ref="H14:H22" si="7">(F14-F14*G14)</f>
        <v>18331</v>
      </c>
      <c r="J14" t="str">
        <f t="shared" ref="J14:N14" si="4">$D$14*J12</f>
        <v>1254.24</v>
      </c>
      <c r="K14" t="str">
        <f t="shared" si="4"/>
        <v>1350.72</v>
      </c>
      <c r="L14" t="str">
        <f t="shared" si="4"/>
        <v>1447.2</v>
      </c>
      <c r="M14" t="str">
        <f t="shared" si="4"/>
        <v>1543.68</v>
      </c>
      <c r="N14" t="str">
        <f t="shared" si="4"/>
        <v>1640.16</v>
      </c>
    </row>
    <row r="15">
      <c r="A15" s="20"/>
      <c r="B15" s="325" t="s">
        <v>554</v>
      </c>
      <c r="C15" s="335">
        <v>0.3</v>
      </c>
      <c r="D15" s="336" t="str">
        <f t="shared" si="5"/>
        <v>965</v>
      </c>
      <c r="E15" s="337">
        <v>7.0</v>
      </c>
      <c r="F15" s="336" t="str">
        <f t="shared" si="6"/>
        <v>6754</v>
      </c>
      <c r="G15" s="338">
        <v>0.05</v>
      </c>
      <c r="H15" s="336" t="str">
        <f t="shared" si="7"/>
        <v>6416</v>
      </c>
    </row>
    <row r="16">
      <c r="A16" s="20"/>
      <c r="B16" s="325" t="s">
        <v>555</v>
      </c>
      <c r="C16" s="335">
        <v>0.0</v>
      </c>
      <c r="D16" s="336" t="str">
        <f t="shared" si="5"/>
        <v>0</v>
      </c>
      <c r="E16" s="337">
        <v>4.0</v>
      </c>
      <c r="F16" s="336" t="str">
        <f t="shared" si="6"/>
        <v>0</v>
      </c>
      <c r="G16" s="338">
        <v>0.0</v>
      </c>
      <c r="H16" s="336" t="str">
        <f t="shared" si="7"/>
        <v>0</v>
      </c>
    </row>
    <row r="17">
      <c r="A17" s="20"/>
      <c r="B17" s="325" t="s">
        <v>556</v>
      </c>
      <c r="C17" s="335">
        <v>0.0</v>
      </c>
      <c r="D17" s="336" t="str">
        <f t="shared" si="5"/>
        <v>0</v>
      </c>
      <c r="E17" s="337">
        <v>7.0</v>
      </c>
      <c r="F17" s="336" t="str">
        <f t="shared" si="6"/>
        <v>0</v>
      </c>
      <c r="G17" s="338">
        <v>0.02</v>
      </c>
      <c r="H17" s="336" t="str">
        <f t="shared" si="7"/>
        <v>0</v>
      </c>
    </row>
    <row r="18">
      <c r="A18" s="20"/>
      <c r="B18" s="325" t="s">
        <v>557</v>
      </c>
      <c r="C18" s="335">
        <v>0.0</v>
      </c>
      <c r="D18" s="336" t="str">
        <f t="shared" si="5"/>
        <v>0</v>
      </c>
      <c r="E18" s="337">
        <v>20.0</v>
      </c>
      <c r="F18" s="336" t="str">
        <f t="shared" si="6"/>
        <v>0</v>
      </c>
      <c r="G18" s="338">
        <v>0.0</v>
      </c>
      <c r="H18" s="336" t="str">
        <f t="shared" si="7"/>
        <v>0</v>
      </c>
      <c r="M18" t="str">
        <f>576/H14*100</f>
        <v>3.142183818</v>
      </c>
    </row>
    <row r="19">
      <c r="A19" s="20"/>
      <c r="B19" s="325" t="s">
        <v>558</v>
      </c>
      <c r="C19" s="335">
        <v>0.0</v>
      </c>
      <c r="D19" s="336" t="str">
        <f t="shared" si="5"/>
        <v>0</v>
      </c>
      <c r="E19" s="337">
        <v>7.0</v>
      </c>
      <c r="F19" s="336" t="str">
        <f t="shared" si="6"/>
        <v>0</v>
      </c>
      <c r="G19" s="338">
        <v>0.1</v>
      </c>
      <c r="H19" s="336" t="str">
        <f t="shared" si="7"/>
        <v>0</v>
      </c>
    </row>
    <row r="20">
      <c r="A20" s="20"/>
      <c r="B20" s="325" t="s">
        <v>559</v>
      </c>
      <c r="C20" s="335">
        <v>0.0</v>
      </c>
      <c r="D20" s="336" t="str">
        <f t="shared" si="5"/>
        <v>0</v>
      </c>
      <c r="E20" s="337">
        <v>6.0</v>
      </c>
      <c r="F20" s="336" t="str">
        <f t="shared" si="6"/>
        <v>0</v>
      </c>
      <c r="G20" s="338">
        <v>0.02</v>
      </c>
      <c r="H20" s="336" t="str">
        <f t="shared" si="7"/>
        <v>0</v>
      </c>
      <c r="J20">
        <v>25.0</v>
      </c>
      <c r="K20">
        <v>1.0</v>
      </c>
      <c r="L20" t="str">
        <f t="shared" ref="L20:L23" si="8">+J20*K20</f>
        <v>25</v>
      </c>
    </row>
    <row r="21">
      <c r="A21" s="20"/>
      <c r="B21" s="325" t="s">
        <v>560</v>
      </c>
      <c r="C21" s="335">
        <v>0.0</v>
      </c>
      <c r="D21" s="336" t="str">
        <f t="shared" si="5"/>
        <v>0</v>
      </c>
      <c r="E21" s="337"/>
      <c r="F21" s="336" t="str">
        <f t="shared" si="6"/>
        <v>0</v>
      </c>
      <c r="G21" s="338">
        <v>0.0</v>
      </c>
      <c r="H21" s="336" t="str">
        <f t="shared" si="7"/>
        <v>0</v>
      </c>
      <c r="J21">
        <v>247.0</v>
      </c>
      <c r="K21">
        <v>1.5</v>
      </c>
      <c r="L21" t="str">
        <f t="shared" si="8"/>
        <v>370.5</v>
      </c>
    </row>
    <row r="22">
      <c r="A22" s="21"/>
      <c r="B22" s="325" t="s">
        <v>561</v>
      </c>
      <c r="C22" s="335">
        <v>0.0</v>
      </c>
      <c r="D22" s="336" t="str">
        <f t="shared" si="5"/>
        <v>0</v>
      </c>
      <c r="E22" s="337"/>
      <c r="F22" s="336" t="str">
        <f t="shared" si="6"/>
        <v>0</v>
      </c>
      <c r="G22" s="338">
        <v>0.0</v>
      </c>
      <c r="H22" s="336" t="str">
        <f t="shared" si="7"/>
        <v>0</v>
      </c>
      <c r="J22">
        <v>30.0</v>
      </c>
      <c r="K22">
        <v>2.5</v>
      </c>
      <c r="L22" t="str">
        <f t="shared" si="8"/>
        <v>75</v>
      </c>
    </row>
    <row r="23">
      <c r="A23" s="339" t="s">
        <v>562</v>
      </c>
      <c r="B23" s="335">
        <v>0.85</v>
      </c>
      <c r="C23" s="336" t="str">
        <f>B9*B23</f>
        <v>2734</v>
      </c>
      <c r="D23" s="336"/>
      <c r="E23" s="337"/>
      <c r="F23" s="336"/>
      <c r="G23" s="338"/>
      <c r="H23" s="336"/>
      <c r="J23">
        <v>53.0</v>
      </c>
      <c r="K23">
        <v>5.0</v>
      </c>
      <c r="L23" t="str">
        <f t="shared" si="8"/>
        <v>265</v>
      </c>
    </row>
    <row r="24">
      <c r="A24" s="334" t="s">
        <v>563</v>
      </c>
      <c r="B24" s="325" t="s">
        <v>564</v>
      </c>
      <c r="C24" s="335">
        <v>0.0</v>
      </c>
      <c r="D24" s="336" t="str">
        <f t="shared" ref="D24:D31" si="9">C$23*C24</f>
        <v>0</v>
      </c>
      <c r="E24" s="337">
        <v>10.0</v>
      </c>
      <c r="F24" s="336" t="str">
        <f t="shared" ref="F24:F31" si="10">D24*E24</f>
        <v>0</v>
      </c>
      <c r="G24" s="338">
        <v>0.1</v>
      </c>
      <c r="H24" s="336" t="str">
        <f t="shared" ref="H24:H31" si="11">(F24-F24*G24)</f>
        <v>0</v>
      </c>
    </row>
    <row r="25">
      <c r="A25" s="20"/>
      <c r="B25" s="325" t="s">
        <v>565</v>
      </c>
      <c r="C25" s="335">
        <v>0.5</v>
      </c>
      <c r="D25" s="336" t="str">
        <f t="shared" si="9"/>
        <v>1367</v>
      </c>
      <c r="E25" s="337">
        <v>14.0</v>
      </c>
      <c r="F25" s="336" t="str">
        <f t="shared" si="10"/>
        <v>19135</v>
      </c>
      <c r="G25" s="338">
        <v>0.05</v>
      </c>
      <c r="H25" s="336" t="str">
        <f t="shared" si="11"/>
        <v>18178</v>
      </c>
      <c r="J25" t="str">
        <f>+SUM(J20:J23)</f>
        <v>355</v>
      </c>
      <c r="L25" t="str">
        <f>+SUM(L20:L23)</f>
        <v>735.5</v>
      </c>
    </row>
    <row r="26">
      <c r="A26" s="20"/>
      <c r="B26" s="325" t="s">
        <v>560</v>
      </c>
      <c r="C26" s="335">
        <v>0.0</v>
      </c>
      <c r="D26" s="336" t="str">
        <f t="shared" si="9"/>
        <v>0</v>
      </c>
      <c r="E26" s="337">
        <v>10.0</v>
      </c>
      <c r="F26" s="336" t="str">
        <f t="shared" si="10"/>
        <v>0</v>
      </c>
      <c r="G26" s="338">
        <v>0.05</v>
      </c>
      <c r="H26" s="336" t="str">
        <f t="shared" si="11"/>
        <v>0</v>
      </c>
    </row>
    <row r="27">
      <c r="A27" s="20"/>
      <c r="B27" s="325" t="s">
        <v>557</v>
      </c>
      <c r="C27" s="335">
        <v>0.0</v>
      </c>
      <c r="D27" s="42" t="str">
        <f t="shared" si="9"/>
        <v>0</v>
      </c>
      <c r="E27" s="340">
        <v>20.0</v>
      </c>
      <c r="F27" s="42" t="str">
        <f t="shared" si="10"/>
        <v>0</v>
      </c>
      <c r="G27" s="338">
        <v>0.0</v>
      </c>
      <c r="H27" s="42" t="str">
        <f t="shared" si="11"/>
        <v>0</v>
      </c>
    </row>
    <row r="28">
      <c r="A28" s="20"/>
      <c r="B28" s="325" t="s">
        <v>566</v>
      </c>
      <c r="C28" s="335">
        <v>0.0</v>
      </c>
      <c r="D28" s="42" t="str">
        <f t="shared" si="9"/>
        <v>0</v>
      </c>
      <c r="E28" s="340"/>
      <c r="F28" s="42" t="str">
        <f t="shared" si="10"/>
        <v>0</v>
      </c>
      <c r="G28" s="338">
        <v>0.0</v>
      </c>
      <c r="H28" s="42" t="str">
        <f t="shared" si="11"/>
        <v>0</v>
      </c>
      <c r="L28" t="str">
        <f>+L25/J25</f>
        <v>2.071830986</v>
      </c>
    </row>
    <row r="29">
      <c r="A29" s="20"/>
      <c r="B29" s="325"/>
      <c r="C29" s="335">
        <v>0.0</v>
      </c>
      <c r="D29" s="42" t="str">
        <f t="shared" si="9"/>
        <v>0</v>
      </c>
      <c r="E29" s="340"/>
      <c r="F29" s="42" t="str">
        <f t="shared" si="10"/>
        <v>0</v>
      </c>
      <c r="G29" s="338">
        <v>0.0</v>
      </c>
      <c r="H29" s="42" t="str">
        <f t="shared" si="11"/>
        <v>0</v>
      </c>
    </row>
    <row r="30">
      <c r="A30" s="20"/>
      <c r="B30" s="325"/>
      <c r="C30" s="335">
        <v>0.0</v>
      </c>
      <c r="D30" s="42" t="str">
        <f t="shared" si="9"/>
        <v>0</v>
      </c>
      <c r="E30" s="340"/>
      <c r="F30" s="42" t="str">
        <f t="shared" si="10"/>
        <v>0</v>
      </c>
      <c r="G30" s="338">
        <v>0.0</v>
      </c>
      <c r="H30" s="42" t="str">
        <f t="shared" si="11"/>
        <v>0</v>
      </c>
    </row>
    <row r="31">
      <c r="A31" s="21"/>
      <c r="B31" s="325"/>
      <c r="C31" s="335">
        <v>0.0</v>
      </c>
      <c r="D31" s="42" t="str">
        <f t="shared" si="9"/>
        <v>0</v>
      </c>
      <c r="E31" s="340"/>
      <c r="F31" s="42" t="str">
        <f t="shared" si="10"/>
        <v>0</v>
      </c>
      <c r="G31" s="338">
        <v>0.0</v>
      </c>
      <c r="H31" s="42" t="str">
        <f t="shared" si="11"/>
        <v>0</v>
      </c>
    </row>
    <row r="32">
      <c r="A32" s="339" t="s">
        <v>567</v>
      </c>
      <c r="B32" s="335">
        <v>0.0</v>
      </c>
      <c r="C32" s="336" t="str">
        <f>B9*B32</f>
        <v>0</v>
      </c>
      <c r="D32" s="42"/>
      <c r="E32" s="340"/>
      <c r="F32" s="42"/>
      <c r="G32" s="338"/>
      <c r="H32" s="42"/>
    </row>
    <row r="33">
      <c r="A33" s="341" t="s">
        <v>568</v>
      </c>
      <c r="B33" s="325" t="s">
        <v>569</v>
      </c>
      <c r="C33" s="335">
        <v>0.4</v>
      </c>
      <c r="D33" s="42" t="str">
        <f t="shared" ref="D33:D36" si="12">C$32*C33</f>
        <v>0</v>
      </c>
      <c r="E33" s="340">
        <v>8.0</v>
      </c>
      <c r="F33" s="42" t="str">
        <f t="shared" ref="F33:F36" si="13">D33*E33</f>
        <v>0</v>
      </c>
      <c r="G33" s="338">
        <v>0.0</v>
      </c>
      <c r="H33" s="42" t="str">
        <f t="shared" ref="H33:H36" si="14">(F33-F33*G33)</f>
        <v>0</v>
      </c>
    </row>
    <row r="34">
      <c r="A34" s="18"/>
      <c r="B34" s="325"/>
      <c r="C34" s="335">
        <v>0.0</v>
      </c>
      <c r="D34" s="42" t="str">
        <f t="shared" si="12"/>
        <v>0</v>
      </c>
      <c r="E34" s="340"/>
      <c r="F34" s="42" t="str">
        <f t="shared" si="13"/>
        <v>0</v>
      </c>
      <c r="G34" s="338">
        <v>0.0</v>
      </c>
      <c r="H34" s="42" t="str">
        <f t="shared" si="14"/>
        <v>0</v>
      </c>
    </row>
    <row r="35">
      <c r="A35" s="18"/>
      <c r="B35" s="325"/>
      <c r="C35" s="335">
        <v>0.0</v>
      </c>
      <c r="D35" s="42" t="str">
        <f t="shared" si="12"/>
        <v>0</v>
      </c>
      <c r="E35" s="340"/>
      <c r="F35" s="42" t="str">
        <f t="shared" si="13"/>
        <v>0</v>
      </c>
      <c r="G35" s="338">
        <v>0.0</v>
      </c>
      <c r="H35" s="42" t="str">
        <f t="shared" si="14"/>
        <v>0</v>
      </c>
    </row>
    <row r="36">
      <c r="A36" s="342"/>
      <c r="B36" s="325"/>
      <c r="C36" s="335">
        <v>0.0</v>
      </c>
      <c r="D36" s="42" t="str">
        <f t="shared" si="12"/>
        <v>0</v>
      </c>
      <c r="E36" s="340"/>
      <c r="F36" s="42" t="str">
        <f t="shared" si="13"/>
        <v>0</v>
      </c>
      <c r="G36" s="338">
        <v>0.0</v>
      </c>
      <c r="H36" s="42" t="str">
        <f t="shared" si="14"/>
        <v>0</v>
      </c>
    </row>
    <row r="37">
      <c r="A37" s="155" t="s">
        <v>570</v>
      </c>
    </row>
    <row r="39">
      <c r="A39" s="343" t="s">
        <v>571</v>
      </c>
      <c r="B39" s="5"/>
      <c r="C39" s="5"/>
      <c r="D39" s="5"/>
      <c r="E39" s="5"/>
      <c r="F39" s="5"/>
      <c r="G39" s="5"/>
      <c r="H39" s="6"/>
    </row>
    <row r="40">
      <c r="A40" s="344" t="s">
        <v>156</v>
      </c>
      <c r="B40" s="345">
        <v>0.5</v>
      </c>
      <c r="C40" s="345" t="str">
        <f t="shared" ref="C40:H40" si="15">B40+0.05</f>
        <v>55%</v>
      </c>
      <c r="D40" s="345" t="str">
        <f t="shared" si="15"/>
        <v>60%</v>
      </c>
      <c r="E40" s="345" t="str">
        <f t="shared" si="15"/>
        <v>65%</v>
      </c>
      <c r="F40" s="345" t="str">
        <f t="shared" si="15"/>
        <v>70%</v>
      </c>
      <c r="G40" s="345" t="str">
        <f t="shared" si="15"/>
        <v>75%</v>
      </c>
      <c r="H40" s="345" t="str">
        <f t="shared" si="15"/>
        <v>80%</v>
      </c>
    </row>
    <row r="41">
      <c r="A41" s="21"/>
      <c r="B41" s="323" t="s">
        <v>137</v>
      </c>
      <c r="C41" s="323" t="s">
        <v>138</v>
      </c>
      <c r="D41" s="323" t="s">
        <v>139</v>
      </c>
      <c r="E41" s="323" t="s">
        <v>140</v>
      </c>
      <c r="F41" s="323" t="s">
        <v>141</v>
      </c>
      <c r="G41" s="323" t="s">
        <v>142</v>
      </c>
      <c r="H41" s="323" t="s">
        <v>143</v>
      </c>
    </row>
    <row r="42">
      <c r="A42" s="42" t="str">
        <f t="shared" ref="A42:A50" si="17">B14</f>
        <v>Soybean</v>
      </c>
      <c r="B42" s="336" t="str">
        <f>H14</f>
        <v>18331</v>
      </c>
      <c r="C42" s="336" t="str">
        <f t="shared" ref="C42:H42" si="16">(B42/B$65)*C$65</f>
        <v>20164</v>
      </c>
      <c r="D42" s="336" t="str">
        <f t="shared" si="16"/>
        <v>21997</v>
      </c>
      <c r="E42" s="336" t="str">
        <f t="shared" si="16"/>
        <v>23831</v>
      </c>
      <c r="F42" s="336" t="str">
        <f t="shared" si="16"/>
        <v>25664</v>
      </c>
      <c r="G42" s="336" t="str">
        <f t="shared" si="16"/>
        <v>27497</v>
      </c>
      <c r="H42" s="336" t="str">
        <f t="shared" si="16"/>
        <v>29330</v>
      </c>
    </row>
    <row r="43">
      <c r="A43" s="42" t="str">
        <f t="shared" si="17"/>
        <v>Red Gram/Tur</v>
      </c>
      <c r="B43" s="336" t="str">
        <f t="shared" ref="B43:B50" si="19">H15*$B$40</f>
        <v>3208</v>
      </c>
      <c r="C43" s="336" t="str">
        <f t="shared" ref="C43:H43" si="18">(B43/B$65)*C$65</f>
        <v>3529</v>
      </c>
      <c r="D43" s="336" t="str">
        <f t="shared" si="18"/>
        <v>3850</v>
      </c>
      <c r="E43" s="336" t="str">
        <f t="shared" si="18"/>
        <v>4170</v>
      </c>
      <c r="F43" s="336" t="str">
        <f t="shared" si="18"/>
        <v>4491</v>
      </c>
      <c r="G43" s="336" t="str">
        <f t="shared" si="18"/>
        <v>4812</v>
      </c>
      <c r="H43" s="336" t="str">
        <f t="shared" si="18"/>
        <v>5133</v>
      </c>
    </row>
    <row r="44">
      <c r="A44" s="42" t="str">
        <f t="shared" si="17"/>
        <v>Paddy/Rice</v>
      </c>
      <c r="B44" s="42" t="str">
        <f t="shared" si="19"/>
        <v>0</v>
      </c>
      <c r="C44" s="42" t="str">
        <f t="shared" ref="C44:H44" si="20">(B44/B$40)*C$40</f>
        <v>0</v>
      </c>
      <c r="D44" s="42" t="str">
        <f t="shared" si="20"/>
        <v>0</v>
      </c>
      <c r="E44" s="42" t="str">
        <f t="shared" si="20"/>
        <v>0</v>
      </c>
      <c r="F44" s="42" t="str">
        <f t="shared" si="20"/>
        <v>0</v>
      </c>
      <c r="G44" s="42" t="str">
        <f t="shared" si="20"/>
        <v>0</v>
      </c>
      <c r="H44" s="42" t="str">
        <f t="shared" si="20"/>
        <v>0</v>
      </c>
    </row>
    <row r="45">
      <c r="A45" s="42" t="str">
        <f t="shared" si="17"/>
        <v>Green Gram/ Moong</v>
      </c>
      <c r="B45" s="42" t="str">
        <f t="shared" si="19"/>
        <v>0</v>
      </c>
      <c r="C45" s="42" t="str">
        <f t="shared" ref="C45:H45" si="21">(B45/B$40)*C$40</f>
        <v>0</v>
      </c>
      <c r="D45" s="42" t="str">
        <f t="shared" si="21"/>
        <v>0</v>
      </c>
      <c r="E45" s="42" t="str">
        <f t="shared" si="21"/>
        <v>0</v>
      </c>
      <c r="F45" s="42" t="str">
        <f t="shared" si="21"/>
        <v>0</v>
      </c>
      <c r="G45" s="42" t="str">
        <f t="shared" si="21"/>
        <v>0</v>
      </c>
      <c r="H45" s="42" t="str">
        <f t="shared" si="21"/>
        <v>0</v>
      </c>
    </row>
    <row r="46">
      <c r="A46" s="42" t="str">
        <f t="shared" si="17"/>
        <v>Maize</v>
      </c>
      <c r="B46" s="42" t="str">
        <f t="shared" si="19"/>
        <v>0</v>
      </c>
      <c r="C46" s="42" t="str">
        <f t="shared" ref="C46:H46" si="22">(B46/B$40)*C$40</f>
        <v>0</v>
      </c>
      <c r="D46" s="42" t="str">
        <f t="shared" si="22"/>
        <v>0</v>
      </c>
      <c r="E46" s="42" t="str">
        <f t="shared" si="22"/>
        <v>0</v>
      </c>
      <c r="F46" s="42" t="str">
        <f t="shared" si="22"/>
        <v>0</v>
      </c>
      <c r="G46" s="42" t="str">
        <f t="shared" si="22"/>
        <v>0</v>
      </c>
      <c r="H46" s="42" t="str">
        <f t="shared" si="22"/>
        <v>0</v>
      </c>
    </row>
    <row r="47">
      <c r="A47" s="42" t="str">
        <f t="shared" si="17"/>
        <v>Black Gram/Udid</v>
      </c>
      <c r="B47" s="42" t="str">
        <f t="shared" si="19"/>
        <v>0</v>
      </c>
      <c r="C47" s="42" t="str">
        <f t="shared" ref="C47:H47" si="23">(B47/B$40)*C$40</f>
        <v>0</v>
      </c>
      <c r="D47" s="42" t="str">
        <f t="shared" si="23"/>
        <v>0</v>
      </c>
      <c r="E47" s="42" t="str">
        <f t="shared" si="23"/>
        <v>0</v>
      </c>
      <c r="F47" s="42" t="str">
        <f t="shared" si="23"/>
        <v>0</v>
      </c>
      <c r="G47" s="42" t="str">
        <f t="shared" si="23"/>
        <v>0</v>
      </c>
      <c r="H47" s="42" t="str">
        <f t="shared" si="23"/>
        <v>0</v>
      </c>
    </row>
    <row r="48">
      <c r="A48" s="42" t="str">
        <f t="shared" si="17"/>
        <v>Bajra</v>
      </c>
      <c r="B48" s="42" t="str">
        <f t="shared" si="19"/>
        <v>0</v>
      </c>
      <c r="C48" s="42" t="str">
        <f t="shared" ref="C48:H48" si="24">(B48/B$40)*C$40</f>
        <v>0</v>
      </c>
      <c r="D48" s="42" t="str">
        <f t="shared" si="24"/>
        <v>0</v>
      </c>
      <c r="E48" s="42" t="str">
        <f t="shared" si="24"/>
        <v>0</v>
      </c>
      <c r="F48" s="42" t="str">
        <f t="shared" si="24"/>
        <v>0</v>
      </c>
      <c r="G48" s="42" t="str">
        <f t="shared" si="24"/>
        <v>0</v>
      </c>
      <c r="H48" s="42" t="str">
        <f t="shared" si="24"/>
        <v>0</v>
      </c>
    </row>
    <row r="49">
      <c r="A49" s="42" t="str">
        <f t="shared" si="17"/>
        <v>Jawar</v>
      </c>
      <c r="B49" s="42" t="str">
        <f t="shared" si="19"/>
        <v>0</v>
      </c>
      <c r="C49" s="42" t="str">
        <f t="shared" ref="C49:H49" si="25">(B49/B$40)*C$40</f>
        <v>0</v>
      </c>
      <c r="D49" s="42" t="str">
        <f t="shared" si="25"/>
        <v>0</v>
      </c>
      <c r="E49" s="42" t="str">
        <f t="shared" si="25"/>
        <v>0</v>
      </c>
      <c r="F49" s="42" t="str">
        <f t="shared" si="25"/>
        <v>0</v>
      </c>
      <c r="G49" s="42" t="str">
        <f t="shared" si="25"/>
        <v>0</v>
      </c>
      <c r="H49" s="42" t="str">
        <f t="shared" si="25"/>
        <v>0</v>
      </c>
    </row>
    <row r="50">
      <c r="A50" s="42" t="str">
        <f t="shared" si="17"/>
        <v>Sunflower</v>
      </c>
      <c r="B50" s="42" t="str">
        <f t="shared" si="19"/>
        <v>0</v>
      </c>
      <c r="C50" s="42" t="str">
        <f t="shared" ref="C50:H50" si="26">(B50/B$40)*C$40</f>
        <v>0</v>
      </c>
      <c r="D50" s="42" t="str">
        <f t="shared" si="26"/>
        <v>0</v>
      </c>
      <c r="E50" s="42" t="str">
        <f t="shared" si="26"/>
        <v>0</v>
      </c>
      <c r="F50" s="42" t="str">
        <f t="shared" si="26"/>
        <v>0</v>
      </c>
      <c r="G50" s="42" t="str">
        <f t="shared" si="26"/>
        <v>0</v>
      </c>
      <c r="H50" s="42" t="str">
        <f t="shared" si="26"/>
        <v>0</v>
      </c>
    </row>
    <row r="51">
      <c r="A51" s="42" t="str">
        <f t="shared" ref="A51:A58" si="28">B24</f>
        <v>Wheat</v>
      </c>
      <c r="B51" s="42" t="str">
        <f t="shared" ref="B51:B58" si="29">H24*$B$40</f>
        <v>0</v>
      </c>
      <c r="C51" s="42" t="str">
        <f t="shared" ref="C51:H51" si="27">(B51/B$40)*C$40</f>
        <v>0</v>
      </c>
      <c r="D51" s="42" t="str">
        <f t="shared" si="27"/>
        <v>0</v>
      </c>
      <c r="E51" s="42" t="str">
        <f t="shared" si="27"/>
        <v>0</v>
      </c>
      <c r="F51" s="42" t="str">
        <f t="shared" si="27"/>
        <v>0</v>
      </c>
      <c r="G51" s="42" t="str">
        <f t="shared" si="27"/>
        <v>0</v>
      </c>
      <c r="H51" s="42" t="str">
        <f t="shared" si="27"/>
        <v>0</v>
      </c>
    </row>
    <row r="52">
      <c r="A52" s="42" t="str">
        <f t="shared" si="28"/>
        <v>Bengal Gram/Channa</v>
      </c>
      <c r="B52" s="336" t="str">
        <f t="shared" si="29"/>
        <v>9089</v>
      </c>
      <c r="C52" s="336" t="str">
        <f t="shared" ref="C52:H52" si="30">(B52/B$65)*C$65</f>
        <v>9998</v>
      </c>
      <c r="D52" s="336" t="str">
        <f t="shared" si="30"/>
        <v>10907</v>
      </c>
      <c r="E52" s="336" t="str">
        <f t="shared" si="30"/>
        <v>11816</v>
      </c>
      <c r="F52" s="336" t="str">
        <f t="shared" si="30"/>
        <v>12725</v>
      </c>
      <c r="G52" s="336" t="str">
        <f t="shared" si="30"/>
        <v>13634</v>
      </c>
      <c r="H52" s="336" t="str">
        <f t="shared" si="30"/>
        <v>14543</v>
      </c>
    </row>
    <row r="53">
      <c r="A53" s="42" t="str">
        <f t="shared" si="28"/>
        <v>Jawar</v>
      </c>
      <c r="B53" s="42" t="str">
        <f t="shared" si="29"/>
        <v>0</v>
      </c>
      <c r="C53" s="42" t="str">
        <f t="shared" ref="C53:H53" si="31">(B53/B$40)*C$40</f>
        <v>0</v>
      </c>
      <c r="D53" s="42" t="str">
        <f t="shared" si="31"/>
        <v>0</v>
      </c>
      <c r="E53" s="42" t="str">
        <f t="shared" si="31"/>
        <v>0</v>
      </c>
      <c r="F53" s="42" t="str">
        <f t="shared" si="31"/>
        <v>0</v>
      </c>
      <c r="G53" s="42" t="str">
        <f t="shared" si="31"/>
        <v>0</v>
      </c>
      <c r="H53" s="42" t="str">
        <f t="shared" si="31"/>
        <v>0</v>
      </c>
    </row>
    <row r="54">
      <c r="A54" s="42" t="str">
        <f t="shared" si="28"/>
        <v>Maize</v>
      </c>
      <c r="B54" s="42" t="str">
        <f t="shared" si="29"/>
        <v>0</v>
      </c>
      <c r="C54" s="42" t="str">
        <f t="shared" ref="C54:H54" si="32">(B54/B$40)*C$40</f>
        <v>0</v>
      </c>
      <c r="D54" s="42" t="str">
        <f t="shared" si="32"/>
        <v>0</v>
      </c>
      <c r="E54" s="42" t="str">
        <f t="shared" si="32"/>
        <v>0</v>
      </c>
      <c r="F54" s="42" t="str">
        <f t="shared" si="32"/>
        <v>0</v>
      </c>
      <c r="G54" s="42" t="str">
        <f t="shared" si="32"/>
        <v>0</v>
      </c>
      <c r="H54" s="42" t="str">
        <f t="shared" si="32"/>
        <v>0</v>
      </c>
    </row>
    <row r="55">
      <c r="A55" s="42" t="str">
        <f t="shared" si="28"/>
        <v>Safflower</v>
      </c>
      <c r="B55" s="42" t="str">
        <f t="shared" si="29"/>
        <v>0</v>
      </c>
      <c r="C55" s="42" t="str">
        <f t="shared" ref="C55:H55" si="33">(B55/B$40)*C$40</f>
        <v>0</v>
      </c>
      <c r="D55" s="42" t="str">
        <f t="shared" si="33"/>
        <v>0</v>
      </c>
      <c r="E55" s="42" t="str">
        <f t="shared" si="33"/>
        <v>0</v>
      </c>
      <c r="F55" s="42" t="str">
        <f t="shared" si="33"/>
        <v>0</v>
      </c>
      <c r="G55" s="42" t="str">
        <f t="shared" si="33"/>
        <v>0</v>
      </c>
      <c r="H55" s="42" t="str">
        <f t="shared" si="33"/>
        <v>0</v>
      </c>
    </row>
    <row r="56">
      <c r="A56" s="42" t="str">
        <f t="shared" si="28"/>
        <v/>
      </c>
      <c r="B56" s="42" t="str">
        <f t="shared" si="29"/>
        <v>0</v>
      </c>
      <c r="C56" s="42" t="str">
        <f t="shared" ref="C56:H56" si="34">(B56/B$40)*C$40</f>
        <v>0</v>
      </c>
      <c r="D56" s="42" t="str">
        <f t="shared" si="34"/>
        <v>0</v>
      </c>
      <c r="E56" s="42" t="str">
        <f t="shared" si="34"/>
        <v>0</v>
      </c>
      <c r="F56" s="42" t="str">
        <f t="shared" si="34"/>
        <v>0</v>
      </c>
      <c r="G56" s="42" t="str">
        <f t="shared" si="34"/>
        <v>0</v>
      </c>
      <c r="H56" s="42" t="str">
        <f t="shared" si="34"/>
        <v>0</v>
      </c>
    </row>
    <row r="57">
      <c r="A57" s="42" t="str">
        <f t="shared" si="28"/>
        <v/>
      </c>
      <c r="B57" s="42" t="str">
        <f t="shared" si="29"/>
        <v>0</v>
      </c>
      <c r="C57" s="42" t="str">
        <f t="shared" ref="C57:H57" si="35">(B57/B$40)*C$40</f>
        <v>0</v>
      </c>
      <c r="D57" s="42" t="str">
        <f t="shared" si="35"/>
        <v>0</v>
      </c>
      <c r="E57" s="42" t="str">
        <f t="shared" si="35"/>
        <v>0</v>
      </c>
      <c r="F57" s="42" t="str">
        <f t="shared" si="35"/>
        <v>0</v>
      </c>
      <c r="G57" s="42" t="str">
        <f t="shared" si="35"/>
        <v>0</v>
      </c>
      <c r="H57" s="42" t="str">
        <f t="shared" si="35"/>
        <v>0</v>
      </c>
    </row>
    <row r="58">
      <c r="A58" s="42" t="str">
        <f t="shared" si="28"/>
        <v/>
      </c>
      <c r="B58" s="42" t="str">
        <f t="shared" si="29"/>
        <v>0</v>
      </c>
      <c r="C58" s="42" t="str">
        <f t="shared" ref="C58:H58" si="36">(B58/B$40)*C$40</f>
        <v>0</v>
      </c>
      <c r="D58" s="42" t="str">
        <f t="shared" si="36"/>
        <v>0</v>
      </c>
      <c r="E58" s="42" t="str">
        <f t="shared" si="36"/>
        <v>0</v>
      </c>
      <c r="F58" s="42" t="str">
        <f t="shared" si="36"/>
        <v>0</v>
      </c>
      <c r="G58" s="42" t="str">
        <f t="shared" si="36"/>
        <v>0</v>
      </c>
      <c r="H58" s="42" t="str">
        <f t="shared" si="36"/>
        <v>0</v>
      </c>
    </row>
    <row r="59">
      <c r="A59" s="42" t="str">
        <f t="shared" ref="A59:A62" si="38">B33</f>
        <v>Groundnut</v>
      </c>
      <c r="B59" s="42">
        <v>0.0</v>
      </c>
      <c r="C59" s="42" t="str">
        <f t="shared" ref="C59:H59" si="37">(B59/B$40)*C$40</f>
        <v>0</v>
      </c>
      <c r="D59" s="42" t="str">
        <f t="shared" si="37"/>
        <v>0</v>
      </c>
      <c r="E59" s="42" t="str">
        <f t="shared" si="37"/>
        <v>0</v>
      </c>
      <c r="F59" s="42" t="str">
        <f t="shared" si="37"/>
        <v>0</v>
      </c>
      <c r="G59" s="42" t="str">
        <f t="shared" si="37"/>
        <v>0</v>
      </c>
      <c r="H59" s="42" t="str">
        <f t="shared" si="37"/>
        <v>0</v>
      </c>
    </row>
    <row r="60">
      <c r="A60" s="42" t="str">
        <f t="shared" si="38"/>
        <v/>
      </c>
      <c r="B60" s="42" t="str">
        <f t="shared" ref="B60:B62" si="40">H34*$B$40</f>
        <v>0</v>
      </c>
      <c r="C60" s="42" t="str">
        <f t="shared" ref="C60:H60" si="39">(B60/B$40)*C$40</f>
        <v>0</v>
      </c>
      <c r="D60" s="42" t="str">
        <f t="shared" si="39"/>
        <v>0</v>
      </c>
      <c r="E60" s="42" t="str">
        <f t="shared" si="39"/>
        <v>0</v>
      </c>
      <c r="F60" s="42" t="str">
        <f t="shared" si="39"/>
        <v>0</v>
      </c>
      <c r="G60" s="42" t="str">
        <f t="shared" si="39"/>
        <v>0</v>
      </c>
      <c r="H60" s="42" t="str">
        <f t="shared" si="39"/>
        <v>0</v>
      </c>
    </row>
    <row r="61">
      <c r="A61" s="42" t="str">
        <f t="shared" si="38"/>
        <v/>
      </c>
      <c r="B61" s="42" t="str">
        <f t="shared" si="40"/>
        <v>0</v>
      </c>
      <c r="C61" s="42" t="str">
        <f t="shared" ref="C61:H61" si="41">(B61/B$40)*C$40</f>
        <v>0</v>
      </c>
      <c r="D61" s="42" t="str">
        <f t="shared" si="41"/>
        <v>0</v>
      </c>
      <c r="E61" s="42" t="str">
        <f t="shared" si="41"/>
        <v>0</v>
      </c>
      <c r="F61" s="42" t="str">
        <f t="shared" si="41"/>
        <v>0</v>
      </c>
      <c r="G61" s="42" t="str">
        <f t="shared" si="41"/>
        <v>0</v>
      </c>
      <c r="H61" s="42" t="str">
        <f t="shared" si="41"/>
        <v>0</v>
      </c>
    </row>
    <row r="62">
      <c r="A62" s="42" t="str">
        <f t="shared" si="38"/>
        <v/>
      </c>
      <c r="B62" s="42" t="str">
        <f t="shared" si="40"/>
        <v>0</v>
      </c>
      <c r="C62" s="42" t="str">
        <f t="shared" ref="C62:H62" si="42">(B62/B$40)*C$40</f>
        <v>0</v>
      </c>
      <c r="D62" s="42" t="str">
        <f t="shared" si="42"/>
        <v>0</v>
      </c>
      <c r="E62" s="42" t="str">
        <f t="shared" si="42"/>
        <v>0</v>
      </c>
      <c r="F62" s="42" t="str">
        <f t="shared" si="42"/>
        <v>0</v>
      </c>
      <c r="G62" s="42" t="str">
        <f t="shared" si="42"/>
        <v>0</v>
      </c>
      <c r="H62" s="42" t="str">
        <f t="shared" si="42"/>
        <v>0</v>
      </c>
    </row>
    <row r="64">
      <c r="A64" s="346" t="s">
        <v>572</v>
      </c>
      <c r="B64" s="5"/>
      <c r="C64" s="5"/>
      <c r="D64" s="5"/>
      <c r="E64" s="5"/>
      <c r="F64" s="5"/>
      <c r="G64" s="5"/>
      <c r="H64" s="6"/>
    </row>
    <row r="65">
      <c r="A65" s="347" t="s">
        <v>156</v>
      </c>
      <c r="B65" s="345">
        <v>0.5</v>
      </c>
      <c r="C65" s="345" t="str">
        <f t="shared" ref="C65:H65" si="43">B65+0.05</f>
        <v>55%</v>
      </c>
      <c r="D65" s="345" t="str">
        <f t="shared" si="43"/>
        <v>60%</v>
      </c>
      <c r="E65" s="345" t="str">
        <f t="shared" si="43"/>
        <v>65%</v>
      </c>
      <c r="F65" s="345" t="str">
        <f t="shared" si="43"/>
        <v>70%</v>
      </c>
      <c r="G65" s="345" t="str">
        <f t="shared" si="43"/>
        <v>75%</v>
      </c>
      <c r="H65" s="345" t="str">
        <f t="shared" si="43"/>
        <v>80%</v>
      </c>
    </row>
    <row r="66">
      <c r="A66" s="21"/>
      <c r="B66" s="323" t="s">
        <v>137</v>
      </c>
      <c r="C66" s="323" t="s">
        <v>138</v>
      </c>
      <c r="D66" s="323" t="s">
        <v>139</v>
      </c>
      <c r="E66" s="323" t="s">
        <v>140</v>
      </c>
      <c r="F66" s="323" t="s">
        <v>141</v>
      </c>
      <c r="G66" s="323" t="s">
        <v>142</v>
      </c>
      <c r="H66" s="323" t="s">
        <v>143</v>
      </c>
    </row>
    <row r="67">
      <c r="A67" s="42" t="str">
        <f t="shared" ref="A67:A87" si="45">A42</f>
        <v>Soybean</v>
      </c>
      <c r="B67" s="336" t="str">
        <f>$H$14*$B$40*0</f>
        <v>0</v>
      </c>
      <c r="C67" s="336" t="str">
        <f t="shared" ref="C67:H67" si="44">(B67/B$65)*C$65</f>
        <v>0</v>
      </c>
      <c r="D67" s="336" t="str">
        <f t="shared" si="44"/>
        <v>0</v>
      </c>
      <c r="E67" s="336" t="str">
        <f t="shared" si="44"/>
        <v>0</v>
      </c>
      <c r="F67" s="336" t="str">
        <f t="shared" si="44"/>
        <v>0</v>
      </c>
      <c r="G67" s="336" t="str">
        <f t="shared" si="44"/>
        <v>0</v>
      </c>
      <c r="H67" s="336" t="str">
        <f t="shared" si="44"/>
        <v>0</v>
      </c>
      <c r="I67" s="120"/>
      <c r="J67" s="120"/>
      <c r="K67" s="120"/>
      <c r="L67" s="120"/>
      <c r="M67" s="120"/>
      <c r="N67" s="120"/>
      <c r="O67" s="120"/>
      <c r="P67" s="120"/>
      <c r="Q67" s="120"/>
      <c r="R67" s="120"/>
      <c r="S67" s="120"/>
      <c r="T67" s="120"/>
      <c r="U67" s="120"/>
      <c r="V67" s="120"/>
      <c r="W67" s="120"/>
      <c r="X67" s="120"/>
      <c r="Y67" s="120"/>
      <c r="Z67" s="120"/>
    </row>
    <row r="68">
      <c r="A68" s="42" t="str">
        <f t="shared" si="45"/>
        <v>Red Gram/Tur</v>
      </c>
      <c r="B68" s="336" t="str">
        <f>$H$15*$B$40</f>
        <v>3208</v>
      </c>
      <c r="C68" s="336" t="str">
        <f t="shared" ref="C68:H68" si="46">(B68/B$65)*C$65</f>
        <v>3529</v>
      </c>
      <c r="D68" s="336" t="str">
        <f t="shared" si="46"/>
        <v>3850</v>
      </c>
      <c r="E68" s="336" t="str">
        <f t="shared" si="46"/>
        <v>4170</v>
      </c>
      <c r="F68" s="336" t="str">
        <f t="shared" si="46"/>
        <v>4491</v>
      </c>
      <c r="G68" s="336" t="str">
        <f t="shared" si="46"/>
        <v>4812</v>
      </c>
      <c r="H68" s="336" t="str">
        <f t="shared" si="46"/>
        <v>5133</v>
      </c>
    </row>
    <row r="69">
      <c r="A69" s="42" t="str">
        <f t="shared" si="45"/>
        <v>Paddy/Rice</v>
      </c>
      <c r="B69" s="336" t="str">
        <f t="shared" ref="B69:B75" si="48">H16*$B$65</f>
        <v>0</v>
      </c>
      <c r="C69" s="336" t="str">
        <f t="shared" ref="C69:H69" si="47">(B69/B$65)*C$65</f>
        <v>0</v>
      </c>
      <c r="D69" s="336" t="str">
        <f t="shared" si="47"/>
        <v>0</v>
      </c>
      <c r="E69" s="336" t="str">
        <f t="shared" si="47"/>
        <v>0</v>
      </c>
      <c r="F69" s="336" t="str">
        <f t="shared" si="47"/>
        <v>0</v>
      </c>
      <c r="G69" s="336" t="str">
        <f t="shared" si="47"/>
        <v>0</v>
      </c>
      <c r="H69" s="336" t="str">
        <f t="shared" si="47"/>
        <v>0</v>
      </c>
    </row>
    <row r="70">
      <c r="A70" s="42" t="str">
        <f t="shared" si="45"/>
        <v>Green Gram/ Moong</v>
      </c>
      <c r="B70" s="336" t="str">
        <f t="shared" si="48"/>
        <v>0</v>
      </c>
      <c r="C70" s="336" t="str">
        <f t="shared" ref="C70:H70" si="49">(B70/B$65)*C$65</f>
        <v>0</v>
      </c>
      <c r="D70" s="336" t="str">
        <f t="shared" si="49"/>
        <v>0</v>
      </c>
      <c r="E70" s="336" t="str">
        <f t="shared" si="49"/>
        <v>0</v>
      </c>
      <c r="F70" s="336" t="str">
        <f t="shared" si="49"/>
        <v>0</v>
      </c>
      <c r="G70" s="336" t="str">
        <f t="shared" si="49"/>
        <v>0</v>
      </c>
      <c r="H70" s="336" t="str">
        <f t="shared" si="49"/>
        <v>0</v>
      </c>
    </row>
    <row r="71">
      <c r="A71" s="42" t="str">
        <f t="shared" si="45"/>
        <v>Maize</v>
      </c>
      <c r="B71" s="336" t="str">
        <f t="shared" si="48"/>
        <v>0</v>
      </c>
      <c r="C71" s="336" t="str">
        <f t="shared" ref="C71:H71" si="50">(B71/B$65)*C$65</f>
        <v>0</v>
      </c>
      <c r="D71" s="336" t="str">
        <f t="shared" si="50"/>
        <v>0</v>
      </c>
      <c r="E71" s="336" t="str">
        <f t="shared" si="50"/>
        <v>0</v>
      </c>
      <c r="F71" s="336" t="str">
        <f t="shared" si="50"/>
        <v>0</v>
      </c>
      <c r="G71" s="336" t="str">
        <f t="shared" si="50"/>
        <v>0</v>
      </c>
      <c r="H71" s="336" t="str">
        <f t="shared" si="50"/>
        <v>0</v>
      </c>
    </row>
    <row r="72">
      <c r="A72" s="42" t="str">
        <f t="shared" si="45"/>
        <v>Black Gram/Udid</v>
      </c>
      <c r="B72" s="336" t="str">
        <f t="shared" si="48"/>
        <v>0</v>
      </c>
      <c r="C72" s="336" t="str">
        <f t="shared" ref="C72:H72" si="51">(B72/B$65)*C$65</f>
        <v>0</v>
      </c>
      <c r="D72" s="336" t="str">
        <f t="shared" si="51"/>
        <v>0</v>
      </c>
      <c r="E72" s="336" t="str">
        <f t="shared" si="51"/>
        <v>0</v>
      </c>
      <c r="F72" s="336" t="str">
        <f t="shared" si="51"/>
        <v>0</v>
      </c>
      <c r="G72" s="336" t="str">
        <f t="shared" si="51"/>
        <v>0</v>
      </c>
      <c r="H72" s="336" t="str">
        <f t="shared" si="51"/>
        <v>0</v>
      </c>
    </row>
    <row r="73">
      <c r="A73" s="42" t="str">
        <f t="shared" si="45"/>
        <v>Bajra</v>
      </c>
      <c r="B73" s="336" t="str">
        <f t="shared" si="48"/>
        <v>0</v>
      </c>
      <c r="C73" s="336" t="str">
        <f t="shared" ref="C73:H73" si="52">(B73/B$65)*C$65</f>
        <v>0</v>
      </c>
      <c r="D73" s="336" t="str">
        <f t="shared" si="52"/>
        <v>0</v>
      </c>
      <c r="E73" s="336" t="str">
        <f t="shared" si="52"/>
        <v>0</v>
      </c>
      <c r="F73" s="336" t="str">
        <f t="shared" si="52"/>
        <v>0</v>
      </c>
      <c r="G73" s="336" t="str">
        <f t="shared" si="52"/>
        <v>0</v>
      </c>
      <c r="H73" s="336" t="str">
        <f t="shared" si="52"/>
        <v>0</v>
      </c>
    </row>
    <row r="74">
      <c r="A74" s="42" t="str">
        <f t="shared" si="45"/>
        <v>Jawar</v>
      </c>
      <c r="B74" s="336" t="str">
        <f t="shared" si="48"/>
        <v>0</v>
      </c>
      <c r="C74" s="336" t="str">
        <f t="shared" ref="C74:H74" si="53">(B74/B$65)*C$65</f>
        <v>0</v>
      </c>
      <c r="D74" s="336" t="str">
        <f t="shared" si="53"/>
        <v>0</v>
      </c>
      <c r="E74" s="336" t="str">
        <f t="shared" si="53"/>
        <v>0</v>
      </c>
      <c r="F74" s="336" t="str">
        <f t="shared" si="53"/>
        <v>0</v>
      </c>
      <c r="G74" s="336" t="str">
        <f t="shared" si="53"/>
        <v>0</v>
      </c>
      <c r="H74" s="336" t="str">
        <f t="shared" si="53"/>
        <v>0</v>
      </c>
    </row>
    <row r="75">
      <c r="A75" s="42" t="str">
        <f t="shared" si="45"/>
        <v>Sunflower</v>
      </c>
      <c r="B75" s="336" t="str">
        <f t="shared" si="48"/>
        <v>0</v>
      </c>
      <c r="C75" s="336" t="str">
        <f t="shared" ref="C75:H75" si="54">(B75/B$65)*C$65</f>
        <v>0</v>
      </c>
      <c r="D75" s="336" t="str">
        <f t="shared" si="54"/>
        <v>0</v>
      </c>
      <c r="E75" s="336" t="str">
        <f t="shared" si="54"/>
        <v>0</v>
      </c>
      <c r="F75" s="336" t="str">
        <f t="shared" si="54"/>
        <v>0</v>
      </c>
      <c r="G75" s="336" t="str">
        <f t="shared" si="54"/>
        <v>0</v>
      </c>
      <c r="H75" s="336" t="str">
        <f t="shared" si="54"/>
        <v>0</v>
      </c>
    </row>
    <row r="76">
      <c r="A76" s="42" t="str">
        <f t="shared" si="45"/>
        <v>Wheat</v>
      </c>
      <c r="B76" s="336" t="str">
        <f>H24*$B$65</f>
        <v>0</v>
      </c>
      <c r="C76" s="336" t="str">
        <f t="shared" ref="C76:H76" si="55">(B76/B$65)*C$65</f>
        <v>0</v>
      </c>
      <c r="D76" s="336" t="str">
        <f t="shared" si="55"/>
        <v>0</v>
      </c>
      <c r="E76" s="336" t="str">
        <f t="shared" si="55"/>
        <v>0</v>
      </c>
      <c r="F76" s="336" t="str">
        <f t="shared" si="55"/>
        <v>0</v>
      </c>
      <c r="G76" s="336" t="str">
        <f t="shared" si="55"/>
        <v>0</v>
      </c>
      <c r="H76" s="336" t="str">
        <f t="shared" si="55"/>
        <v>0</v>
      </c>
    </row>
    <row r="77">
      <c r="A77" s="42" t="str">
        <f t="shared" si="45"/>
        <v>Bengal Gram/Channa</v>
      </c>
      <c r="B77" s="336" t="str">
        <f>$H$25*$B$40</f>
        <v>9089</v>
      </c>
      <c r="C77" s="336" t="str">
        <f t="shared" ref="C77:H77" si="56">(B77/B$65)*C$65</f>
        <v>9998</v>
      </c>
      <c r="D77" s="336" t="str">
        <f t="shared" si="56"/>
        <v>10907</v>
      </c>
      <c r="E77" s="336" t="str">
        <f t="shared" si="56"/>
        <v>11816</v>
      </c>
      <c r="F77" s="336" t="str">
        <f t="shared" si="56"/>
        <v>12725</v>
      </c>
      <c r="G77" s="336" t="str">
        <f t="shared" si="56"/>
        <v>13634</v>
      </c>
      <c r="H77" s="336" t="str">
        <f t="shared" si="56"/>
        <v>14543</v>
      </c>
    </row>
    <row r="78">
      <c r="A78" s="42" t="str">
        <f t="shared" si="45"/>
        <v>Jawar</v>
      </c>
      <c r="B78" s="336" t="str">
        <f t="shared" ref="B78:B83" si="58">H26*$B$65</f>
        <v>0</v>
      </c>
      <c r="C78" s="336" t="str">
        <f t="shared" ref="C78:H78" si="57">(B78/B$65)*C$65</f>
        <v>0</v>
      </c>
      <c r="D78" s="336" t="str">
        <f t="shared" si="57"/>
        <v>0</v>
      </c>
      <c r="E78" s="336" t="str">
        <f t="shared" si="57"/>
        <v>0</v>
      </c>
      <c r="F78" s="336" t="str">
        <f t="shared" si="57"/>
        <v>0</v>
      </c>
      <c r="G78" s="336" t="str">
        <f t="shared" si="57"/>
        <v>0</v>
      </c>
      <c r="H78" s="336" t="str">
        <f t="shared" si="57"/>
        <v>0</v>
      </c>
    </row>
    <row r="79">
      <c r="A79" s="42" t="str">
        <f t="shared" si="45"/>
        <v>Maize</v>
      </c>
      <c r="B79" s="42" t="str">
        <f t="shared" si="58"/>
        <v>0</v>
      </c>
      <c r="C79" s="42" t="str">
        <f t="shared" ref="C79:H79" si="59">(B79/B$65)*C$65</f>
        <v>0</v>
      </c>
      <c r="D79" s="42" t="str">
        <f t="shared" si="59"/>
        <v>0</v>
      </c>
      <c r="E79" s="42" t="str">
        <f t="shared" si="59"/>
        <v>0</v>
      </c>
      <c r="F79" s="42" t="str">
        <f t="shared" si="59"/>
        <v>0</v>
      </c>
      <c r="G79" s="42" t="str">
        <f t="shared" si="59"/>
        <v>0</v>
      </c>
      <c r="H79" s="42" t="str">
        <f t="shared" si="59"/>
        <v>0</v>
      </c>
    </row>
    <row r="80">
      <c r="A80" s="42" t="str">
        <f t="shared" si="45"/>
        <v>Safflower</v>
      </c>
      <c r="B80" s="42" t="str">
        <f t="shared" si="58"/>
        <v>0</v>
      </c>
      <c r="C80" s="42" t="str">
        <f t="shared" ref="C80:H80" si="60">(B80/B$65)*C$65</f>
        <v>0</v>
      </c>
      <c r="D80" s="42" t="str">
        <f t="shared" si="60"/>
        <v>0</v>
      </c>
      <c r="E80" s="42" t="str">
        <f t="shared" si="60"/>
        <v>0</v>
      </c>
      <c r="F80" s="42" t="str">
        <f t="shared" si="60"/>
        <v>0</v>
      </c>
      <c r="G80" s="42" t="str">
        <f t="shared" si="60"/>
        <v>0</v>
      </c>
      <c r="H80" s="42" t="str">
        <f t="shared" si="60"/>
        <v>0</v>
      </c>
    </row>
    <row r="81">
      <c r="A81" s="42" t="str">
        <f t="shared" si="45"/>
        <v/>
      </c>
      <c r="B81" s="42" t="str">
        <f t="shared" si="58"/>
        <v>0</v>
      </c>
      <c r="C81" s="42" t="str">
        <f t="shared" ref="C81:H81" si="61">(B81/B$65)*C$65</f>
        <v>0</v>
      </c>
      <c r="D81" s="42" t="str">
        <f t="shared" si="61"/>
        <v>0</v>
      </c>
      <c r="E81" s="42" t="str">
        <f t="shared" si="61"/>
        <v>0</v>
      </c>
      <c r="F81" s="42" t="str">
        <f t="shared" si="61"/>
        <v>0</v>
      </c>
      <c r="G81" s="42" t="str">
        <f t="shared" si="61"/>
        <v>0</v>
      </c>
      <c r="H81" s="42" t="str">
        <f t="shared" si="61"/>
        <v>0</v>
      </c>
    </row>
    <row r="82">
      <c r="A82" s="42" t="str">
        <f t="shared" si="45"/>
        <v/>
      </c>
      <c r="B82" s="42" t="str">
        <f t="shared" si="58"/>
        <v>0</v>
      </c>
      <c r="C82" s="42" t="str">
        <f t="shared" ref="C82:H82" si="62">(B82/B$65)*C$65</f>
        <v>0</v>
      </c>
      <c r="D82" s="42" t="str">
        <f t="shared" si="62"/>
        <v>0</v>
      </c>
      <c r="E82" s="42" t="str">
        <f t="shared" si="62"/>
        <v>0</v>
      </c>
      <c r="F82" s="42" t="str">
        <f t="shared" si="62"/>
        <v>0</v>
      </c>
      <c r="G82" s="42" t="str">
        <f t="shared" si="62"/>
        <v>0</v>
      </c>
      <c r="H82" s="42" t="str">
        <f t="shared" si="62"/>
        <v>0</v>
      </c>
    </row>
    <row r="83">
      <c r="A83" s="42" t="str">
        <f t="shared" si="45"/>
        <v/>
      </c>
      <c r="B83" s="42" t="str">
        <f t="shared" si="58"/>
        <v>0</v>
      </c>
      <c r="C83" s="42" t="str">
        <f t="shared" ref="C83:H83" si="63">(B83/B$65)*C$65</f>
        <v>0</v>
      </c>
      <c r="D83" s="42" t="str">
        <f t="shared" si="63"/>
        <v>0</v>
      </c>
      <c r="E83" s="42" t="str">
        <f t="shared" si="63"/>
        <v>0</v>
      </c>
      <c r="F83" s="42" t="str">
        <f t="shared" si="63"/>
        <v>0</v>
      </c>
      <c r="G83" s="42" t="str">
        <f t="shared" si="63"/>
        <v>0</v>
      </c>
      <c r="H83" s="42" t="str">
        <f t="shared" si="63"/>
        <v>0</v>
      </c>
    </row>
    <row r="84">
      <c r="A84" s="42" t="str">
        <f t="shared" si="45"/>
        <v>Groundnut</v>
      </c>
      <c r="B84" s="42" t="str">
        <f>+H33</f>
        <v>0</v>
      </c>
      <c r="C84" s="42" t="str">
        <f t="shared" ref="C84:H84" si="64">(B84/B$65)*C$65</f>
        <v>0</v>
      </c>
      <c r="D84" s="42" t="str">
        <f t="shared" si="64"/>
        <v>0</v>
      </c>
      <c r="E84" s="42" t="str">
        <f t="shared" si="64"/>
        <v>0</v>
      </c>
      <c r="F84" s="42" t="str">
        <f t="shared" si="64"/>
        <v>0</v>
      </c>
      <c r="G84" s="42" t="str">
        <f t="shared" si="64"/>
        <v>0</v>
      </c>
      <c r="H84" s="42" t="str">
        <f t="shared" si="64"/>
        <v>0</v>
      </c>
    </row>
    <row r="85">
      <c r="A85" s="42" t="str">
        <f t="shared" si="45"/>
        <v/>
      </c>
      <c r="B85" s="42" t="str">
        <f t="shared" ref="B85:B87" si="66">H34*$B$65</f>
        <v>0</v>
      </c>
      <c r="C85" s="42" t="str">
        <f t="shared" ref="C85:H85" si="65">(B85/B$65)*C$65</f>
        <v>0</v>
      </c>
      <c r="D85" s="42" t="str">
        <f t="shared" si="65"/>
        <v>0</v>
      </c>
      <c r="E85" s="42" t="str">
        <f t="shared" si="65"/>
        <v>0</v>
      </c>
      <c r="F85" s="42" t="str">
        <f t="shared" si="65"/>
        <v>0</v>
      </c>
      <c r="G85" s="42" t="str">
        <f t="shared" si="65"/>
        <v>0</v>
      </c>
      <c r="H85" s="42" t="str">
        <f t="shared" si="65"/>
        <v>0</v>
      </c>
    </row>
    <row r="86">
      <c r="A86" s="42" t="str">
        <f t="shared" si="45"/>
        <v/>
      </c>
      <c r="B86" s="42" t="str">
        <f t="shared" si="66"/>
        <v>0</v>
      </c>
      <c r="C86" s="42" t="str">
        <f t="shared" ref="C86:H86" si="67">(B86/B$65)*C$65</f>
        <v>0</v>
      </c>
      <c r="D86" s="42" t="str">
        <f t="shared" si="67"/>
        <v>0</v>
      </c>
      <c r="E86" s="42" t="str">
        <f t="shared" si="67"/>
        <v>0</v>
      </c>
      <c r="F86" s="42" t="str">
        <f t="shared" si="67"/>
        <v>0</v>
      </c>
      <c r="G86" s="42" t="str">
        <f t="shared" si="67"/>
        <v>0</v>
      </c>
      <c r="H86" s="42" t="str">
        <f t="shared" si="67"/>
        <v>0</v>
      </c>
    </row>
    <row r="87">
      <c r="A87" s="42" t="str">
        <f t="shared" si="45"/>
        <v/>
      </c>
      <c r="B87" s="42" t="str">
        <f t="shared" si="66"/>
        <v>0</v>
      </c>
      <c r="C87" s="42" t="str">
        <f t="shared" ref="C87:H87" si="68">(B87/B$65)*C$65</f>
        <v>0</v>
      </c>
      <c r="D87" s="42" t="str">
        <f t="shared" si="68"/>
        <v>0</v>
      </c>
      <c r="E87" s="42" t="str">
        <f t="shared" si="68"/>
        <v>0</v>
      </c>
      <c r="F87" s="42" t="str">
        <f t="shared" si="68"/>
        <v>0</v>
      </c>
      <c r="G87" s="42" t="str">
        <f t="shared" si="68"/>
        <v>0</v>
      </c>
      <c r="H87" s="42" t="str">
        <f t="shared" si="68"/>
        <v>0</v>
      </c>
    </row>
    <row r="88">
      <c r="B88" s="120"/>
      <c r="C88" s="120"/>
      <c r="D88" s="120"/>
      <c r="E88" s="120"/>
      <c r="F88" s="120"/>
      <c r="G88" s="120"/>
      <c r="H88" s="120"/>
      <c r="I88" s="120"/>
    </row>
    <row r="89">
      <c r="A89" s="348" t="s">
        <v>573</v>
      </c>
      <c r="B89" s="5"/>
      <c r="C89" s="5"/>
      <c r="D89" s="5"/>
      <c r="E89" s="5"/>
      <c r="F89" s="5"/>
      <c r="G89" s="5"/>
      <c r="H89" s="6"/>
    </row>
    <row r="90">
      <c r="A90" s="349" t="s">
        <v>156</v>
      </c>
      <c r="B90" s="350">
        <v>0.35</v>
      </c>
      <c r="C90" s="351" t="str">
        <f t="shared" ref="C90:H90" si="69">B90+0.05</f>
        <v>40.0%</v>
      </c>
      <c r="D90" s="351" t="str">
        <f t="shared" si="69"/>
        <v>45.0%</v>
      </c>
      <c r="E90" s="351" t="str">
        <f t="shared" si="69"/>
        <v>50.0%</v>
      </c>
      <c r="F90" s="351" t="str">
        <f t="shared" si="69"/>
        <v>55.0%</v>
      </c>
      <c r="G90" s="351" t="str">
        <f t="shared" si="69"/>
        <v>60.0%</v>
      </c>
      <c r="H90" s="351" t="str">
        <f t="shared" si="69"/>
        <v>65.0%</v>
      </c>
    </row>
    <row r="91">
      <c r="A91" s="21"/>
      <c r="B91" s="323" t="s">
        <v>137</v>
      </c>
      <c r="C91" s="323" t="s">
        <v>138</v>
      </c>
      <c r="D91" s="323" t="s">
        <v>139</v>
      </c>
      <c r="E91" s="323" t="s">
        <v>140</v>
      </c>
      <c r="F91" s="323" t="s">
        <v>141</v>
      </c>
      <c r="G91" s="323" t="s">
        <v>142</v>
      </c>
      <c r="H91" s="323" t="s">
        <v>143</v>
      </c>
    </row>
    <row r="92">
      <c r="A92" s="42" t="str">
        <f t="shared" ref="A92:A112" si="71">A67</f>
        <v>Soybean</v>
      </c>
      <c r="B92" s="336" t="str">
        <f t="shared" ref="B92:B93" si="72">D14*$B$90*0</f>
        <v>0</v>
      </c>
      <c r="C92" s="336" t="str">
        <f t="shared" ref="C92:H92" si="70">(B92/B$90)*C$90</f>
        <v>0</v>
      </c>
      <c r="D92" s="336" t="str">
        <f t="shared" si="70"/>
        <v>0</v>
      </c>
      <c r="E92" s="336" t="str">
        <f t="shared" si="70"/>
        <v>0</v>
      </c>
      <c r="F92" s="336" t="str">
        <f t="shared" si="70"/>
        <v>0</v>
      </c>
      <c r="G92" s="336" t="str">
        <f t="shared" si="70"/>
        <v>0</v>
      </c>
      <c r="H92" s="336" t="str">
        <f t="shared" si="70"/>
        <v>0</v>
      </c>
      <c r="I92" s="120"/>
      <c r="J92" s="120"/>
      <c r="K92" s="120"/>
      <c r="L92" s="120"/>
      <c r="M92" s="120"/>
      <c r="N92" s="120"/>
      <c r="O92" s="120"/>
      <c r="P92" s="120"/>
      <c r="Q92" s="120"/>
      <c r="R92" s="120"/>
      <c r="S92" s="120"/>
      <c r="T92" s="120"/>
      <c r="U92" s="120"/>
      <c r="V92" s="120"/>
      <c r="W92" s="120"/>
      <c r="X92" s="120"/>
      <c r="Y92" s="120"/>
      <c r="Z92" s="120"/>
    </row>
    <row r="93">
      <c r="A93" s="42" t="str">
        <f t="shared" si="71"/>
        <v>Red Gram/Tur</v>
      </c>
      <c r="B93" s="336" t="str">
        <f t="shared" si="72"/>
        <v>0</v>
      </c>
      <c r="C93" s="336" t="str">
        <f t="shared" ref="C93:C101" si="74">(B93/B$90)*C$90</f>
        <v>0</v>
      </c>
      <c r="D93" s="336" t="str">
        <f t="shared" ref="D93:H93" si="73">(C93/C90)*D90</f>
        <v>0</v>
      </c>
      <c r="E93" s="336" t="str">
        <f t="shared" si="73"/>
        <v>0</v>
      </c>
      <c r="F93" s="336" t="str">
        <f t="shared" si="73"/>
        <v>0</v>
      </c>
      <c r="G93" s="336" t="str">
        <f t="shared" si="73"/>
        <v>0</v>
      </c>
      <c r="H93" s="336" t="str">
        <f t="shared" si="73"/>
        <v>0</v>
      </c>
    </row>
    <row r="94">
      <c r="A94" s="42" t="str">
        <f t="shared" si="71"/>
        <v>Paddy/Rice</v>
      </c>
      <c r="B94" s="336" t="str">
        <f t="shared" ref="B94:B100" si="76">D16*$B$90</f>
        <v>0</v>
      </c>
      <c r="C94" s="336" t="str">
        <f t="shared" si="74"/>
        <v>0</v>
      </c>
      <c r="D94" s="336" t="str">
        <f t="shared" ref="D94:H94" si="75">(C94/C$90)*D$90</f>
        <v>0</v>
      </c>
      <c r="E94" s="336" t="str">
        <f t="shared" si="75"/>
        <v>0</v>
      </c>
      <c r="F94" s="336" t="str">
        <f t="shared" si="75"/>
        <v>0</v>
      </c>
      <c r="G94" s="336" t="str">
        <f t="shared" si="75"/>
        <v>0</v>
      </c>
      <c r="H94" s="336" t="str">
        <f t="shared" si="75"/>
        <v>0</v>
      </c>
    </row>
    <row r="95">
      <c r="A95" s="42" t="str">
        <f t="shared" si="71"/>
        <v>Green Gram/ Moong</v>
      </c>
      <c r="B95" s="336" t="str">
        <f t="shared" si="76"/>
        <v>0</v>
      </c>
      <c r="C95" s="336" t="str">
        <f t="shared" si="74"/>
        <v>0</v>
      </c>
      <c r="D95" s="336" t="str">
        <f t="shared" ref="D95:H95" si="77">(C95/C$90)*D$90</f>
        <v>0</v>
      </c>
      <c r="E95" s="336" t="str">
        <f t="shared" si="77"/>
        <v>0</v>
      </c>
      <c r="F95" s="336" t="str">
        <f t="shared" si="77"/>
        <v>0</v>
      </c>
      <c r="G95" s="336" t="str">
        <f t="shared" si="77"/>
        <v>0</v>
      </c>
      <c r="H95" s="336" t="str">
        <f t="shared" si="77"/>
        <v>0</v>
      </c>
    </row>
    <row r="96">
      <c r="A96" s="42" t="str">
        <f t="shared" si="71"/>
        <v>Maize</v>
      </c>
      <c r="B96" s="336" t="str">
        <f t="shared" si="76"/>
        <v>0</v>
      </c>
      <c r="C96" s="336" t="str">
        <f t="shared" si="74"/>
        <v>0</v>
      </c>
      <c r="D96" s="336" t="str">
        <f t="shared" ref="D96:H96" si="78">(C96/C$90)*D$90</f>
        <v>0</v>
      </c>
      <c r="E96" s="336" t="str">
        <f t="shared" si="78"/>
        <v>0</v>
      </c>
      <c r="F96" s="336" t="str">
        <f t="shared" si="78"/>
        <v>0</v>
      </c>
      <c r="G96" s="336" t="str">
        <f t="shared" si="78"/>
        <v>0</v>
      </c>
      <c r="H96" s="336" t="str">
        <f t="shared" si="78"/>
        <v>0</v>
      </c>
    </row>
    <row r="97">
      <c r="A97" s="42" t="str">
        <f t="shared" si="71"/>
        <v>Black Gram/Udid</v>
      </c>
      <c r="B97" s="336" t="str">
        <f t="shared" si="76"/>
        <v>0</v>
      </c>
      <c r="C97" s="336" t="str">
        <f t="shared" si="74"/>
        <v>0</v>
      </c>
      <c r="D97" s="336" t="str">
        <f t="shared" ref="D97:H97" si="79">(C97/C$90)*D$90</f>
        <v>0</v>
      </c>
      <c r="E97" s="336" t="str">
        <f t="shared" si="79"/>
        <v>0</v>
      </c>
      <c r="F97" s="336" t="str">
        <f t="shared" si="79"/>
        <v>0</v>
      </c>
      <c r="G97" s="336" t="str">
        <f t="shared" si="79"/>
        <v>0</v>
      </c>
      <c r="H97" s="336" t="str">
        <f t="shared" si="79"/>
        <v>0</v>
      </c>
    </row>
    <row r="98">
      <c r="A98" s="42" t="str">
        <f t="shared" si="71"/>
        <v>Bajra</v>
      </c>
      <c r="B98" s="336" t="str">
        <f t="shared" si="76"/>
        <v>0</v>
      </c>
      <c r="C98" s="336" t="str">
        <f t="shared" si="74"/>
        <v>0</v>
      </c>
      <c r="D98" s="336" t="str">
        <f t="shared" ref="D98:H98" si="80">(C98/C$90)*D$90</f>
        <v>0</v>
      </c>
      <c r="E98" s="336" t="str">
        <f t="shared" si="80"/>
        <v>0</v>
      </c>
      <c r="F98" s="336" t="str">
        <f t="shared" si="80"/>
        <v>0</v>
      </c>
      <c r="G98" s="336" t="str">
        <f t="shared" si="80"/>
        <v>0</v>
      </c>
      <c r="H98" s="336" t="str">
        <f t="shared" si="80"/>
        <v>0</v>
      </c>
    </row>
    <row r="99">
      <c r="A99" s="42" t="str">
        <f t="shared" si="71"/>
        <v>Jawar</v>
      </c>
      <c r="B99" s="336" t="str">
        <f t="shared" si="76"/>
        <v>0</v>
      </c>
      <c r="C99" s="336" t="str">
        <f t="shared" si="74"/>
        <v>0</v>
      </c>
      <c r="D99" s="336" t="str">
        <f t="shared" ref="D99:H99" si="81">(C99/C$90)*D$90</f>
        <v>0</v>
      </c>
      <c r="E99" s="336" t="str">
        <f t="shared" si="81"/>
        <v>0</v>
      </c>
      <c r="F99" s="336" t="str">
        <f t="shared" si="81"/>
        <v>0</v>
      </c>
      <c r="G99" s="336" t="str">
        <f t="shared" si="81"/>
        <v>0</v>
      </c>
      <c r="H99" s="336" t="str">
        <f t="shared" si="81"/>
        <v>0</v>
      </c>
    </row>
    <row r="100">
      <c r="A100" s="42" t="str">
        <f t="shared" si="71"/>
        <v>Sunflower</v>
      </c>
      <c r="B100" s="336" t="str">
        <f t="shared" si="76"/>
        <v>0</v>
      </c>
      <c r="C100" s="336" t="str">
        <f t="shared" si="74"/>
        <v>0</v>
      </c>
      <c r="D100" s="336" t="str">
        <f t="shared" ref="D100:H100" si="82">(C100/C$90)*D$90</f>
        <v>0</v>
      </c>
      <c r="E100" s="336" t="str">
        <f t="shared" si="82"/>
        <v>0</v>
      </c>
      <c r="F100" s="336" t="str">
        <f t="shared" si="82"/>
        <v>0</v>
      </c>
      <c r="G100" s="336" t="str">
        <f t="shared" si="82"/>
        <v>0</v>
      </c>
      <c r="H100" s="336" t="str">
        <f t="shared" si="82"/>
        <v>0</v>
      </c>
    </row>
    <row r="101">
      <c r="A101" s="42" t="str">
        <f t="shared" si="71"/>
        <v>Wheat</v>
      </c>
      <c r="B101" s="336" t="str">
        <f>D24*$B$90</f>
        <v>0</v>
      </c>
      <c r="C101" s="336" t="str">
        <f t="shared" si="74"/>
        <v>0</v>
      </c>
      <c r="D101" s="336" t="str">
        <f t="shared" ref="D101:H101" si="83">(C101/C$90)*D$90</f>
        <v>0</v>
      </c>
      <c r="E101" s="336" t="str">
        <f t="shared" si="83"/>
        <v>0</v>
      </c>
      <c r="F101" s="336" t="str">
        <f t="shared" si="83"/>
        <v>0</v>
      </c>
      <c r="G101" s="336" t="str">
        <f t="shared" si="83"/>
        <v>0</v>
      </c>
      <c r="H101" s="336" t="str">
        <f t="shared" si="83"/>
        <v>0</v>
      </c>
    </row>
    <row r="102">
      <c r="A102" s="42" t="str">
        <f t="shared" si="71"/>
        <v>Bengal Gram/Channa</v>
      </c>
      <c r="B102" s="336" t="str">
        <f t="shared" ref="B102:H102" si="84">D25*$B$90*0</f>
        <v>0</v>
      </c>
      <c r="C102" s="336" t="str">
        <f t="shared" si="84"/>
        <v>0</v>
      </c>
      <c r="D102" s="336" t="str">
        <f t="shared" si="84"/>
        <v>0</v>
      </c>
      <c r="E102" s="336" t="str">
        <f t="shared" si="84"/>
        <v>0</v>
      </c>
      <c r="F102" s="336" t="str">
        <f t="shared" si="84"/>
        <v>0</v>
      </c>
      <c r="G102" s="336" t="str">
        <f t="shared" si="84"/>
        <v>0</v>
      </c>
      <c r="H102" s="336" t="str">
        <f t="shared" si="84"/>
        <v>0</v>
      </c>
    </row>
    <row r="103">
      <c r="A103" s="42" t="str">
        <f t="shared" si="71"/>
        <v>Jawar</v>
      </c>
      <c r="B103" s="336" t="str">
        <f t="shared" ref="B103:B108" si="86">D26*$B$90</f>
        <v>0</v>
      </c>
      <c r="C103" s="336" t="str">
        <f t="shared" ref="C103:H103" si="85">(B103/B$90)*C$90</f>
        <v>0</v>
      </c>
      <c r="D103" s="336" t="str">
        <f t="shared" si="85"/>
        <v>0</v>
      </c>
      <c r="E103" s="336" t="str">
        <f t="shared" si="85"/>
        <v>0</v>
      </c>
      <c r="F103" s="336" t="str">
        <f t="shared" si="85"/>
        <v>0</v>
      </c>
      <c r="G103" s="336" t="str">
        <f t="shared" si="85"/>
        <v>0</v>
      </c>
      <c r="H103" s="336" t="str">
        <f t="shared" si="85"/>
        <v>0</v>
      </c>
    </row>
    <row r="104">
      <c r="A104" s="42" t="str">
        <f t="shared" si="71"/>
        <v>Maize</v>
      </c>
      <c r="B104" s="336" t="str">
        <f t="shared" si="86"/>
        <v>0</v>
      </c>
      <c r="C104" s="336" t="str">
        <f t="shared" ref="C104:H104" si="87">(B104/B$90)*C$90</f>
        <v>0</v>
      </c>
      <c r="D104" s="336" t="str">
        <f t="shared" si="87"/>
        <v>0</v>
      </c>
      <c r="E104" s="336" t="str">
        <f t="shared" si="87"/>
        <v>0</v>
      </c>
      <c r="F104" s="336" t="str">
        <f t="shared" si="87"/>
        <v>0</v>
      </c>
      <c r="G104" s="336" t="str">
        <f t="shared" si="87"/>
        <v>0</v>
      </c>
      <c r="H104" s="336" t="str">
        <f t="shared" si="87"/>
        <v>0</v>
      </c>
    </row>
    <row r="105">
      <c r="A105" s="42" t="str">
        <f t="shared" si="71"/>
        <v>Safflower</v>
      </c>
      <c r="B105" s="336" t="str">
        <f t="shared" si="86"/>
        <v>0</v>
      </c>
      <c r="C105" s="336" t="str">
        <f t="shared" ref="C105:H105" si="88">(B105/B$90)*C$90</f>
        <v>0</v>
      </c>
      <c r="D105" s="336" t="str">
        <f t="shared" si="88"/>
        <v>0</v>
      </c>
      <c r="E105" s="336" t="str">
        <f t="shared" si="88"/>
        <v>0</v>
      </c>
      <c r="F105" s="336" t="str">
        <f t="shared" si="88"/>
        <v>0</v>
      </c>
      <c r="G105" s="336" t="str">
        <f t="shared" si="88"/>
        <v>0</v>
      </c>
      <c r="H105" s="336" t="str">
        <f t="shared" si="88"/>
        <v>0</v>
      </c>
    </row>
    <row r="106">
      <c r="A106" s="42" t="str">
        <f t="shared" si="71"/>
        <v/>
      </c>
      <c r="B106" s="336" t="str">
        <f t="shared" si="86"/>
        <v>0</v>
      </c>
      <c r="C106" s="336" t="str">
        <f t="shared" ref="C106:H106" si="89">(B106/B$90)*C$90</f>
        <v>0</v>
      </c>
      <c r="D106" s="336" t="str">
        <f t="shared" si="89"/>
        <v>0</v>
      </c>
      <c r="E106" s="336" t="str">
        <f t="shared" si="89"/>
        <v>0</v>
      </c>
      <c r="F106" s="336" t="str">
        <f t="shared" si="89"/>
        <v>0</v>
      </c>
      <c r="G106" s="336" t="str">
        <f t="shared" si="89"/>
        <v>0</v>
      </c>
      <c r="H106" s="336" t="str">
        <f t="shared" si="89"/>
        <v>0</v>
      </c>
    </row>
    <row r="107">
      <c r="A107" s="42" t="str">
        <f t="shared" si="71"/>
        <v/>
      </c>
      <c r="B107" s="42" t="str">
        <f t="shared" si="86"/>
        <v>0</v>
      </c>
      <c r="C107" s="42" t="str">
        <f t="shared" ref="C107:H107" si="90">(B107/B$90)*C$90</f>
        <v>0</v>
      </c>
      <c r="D107" s="42" t="str">
        <f t="shared" si="90"/>
        <v>0</v>
      </c>
      <c r="E107" s="42" t="str">
        <f t="shared" si="90"/>
        <v>0</v>
      </c>
      <c r="F107" s="42" t="str">
        <f t="shared" si="90"/>
        <v>0</v>
      </c>
      <c r="G107" s="42" t="str">
        <f t="shared" si="90"/>
        <v>0</v>
      </c>
      <c r="H107" s="42" t="str">
        <f t="shared" si="90"/>
        <v>0</v>
      </c>
    </row>
    <row r="108">
      <c r="A108" s="42" t="str">
        <f t="shared" si="71"/>
        <v/>
      </c>
      <c r="B108" s="42" t="str">
        <f t="shared" si="86"/>
        <v>0</v>
      </c>
      <c r="C108" s="42" t="str">
        <f t="shared" ref="C108:H108" si="91">(B108/B$90)*C$90</f>
        <v>0</v>
      </c>
      <c r="D108" s="42" t="str">
        <f t="shared" si="91"/>
        <v>0</v>
      </c>
      <c r="E108" s="42" t="str">
        <f t="shared" si="91"/>
        <v>0</v>
      </c>
      <c r="F108" s="42" t="str">
        <f t="shared" si="91"/>
        <v>0</v>
      </c>
      <c r="G108" s="42" t="str">
        <f t="shared" si="91"/>
        <v>0</v>
      </c>
      <c r="H108" s="42" t="str">
        <f t="shared" si="91"/>
        <v>0</v>
      </c>
    </row>
    <row r="109">
      <c r="A109" s="42" t="str">
        <f t="shared" si="71"/>
        <v>Groundnut</v>
      </c>
      <c r="B109" s="42">
        <v>0.0</v>
      </c>
      <c r="C109" s="42" t="str">
        <f t="shared" ref="C109:H109" si="92">(B109/B$90)*C$90</f>
        <v>0</v>
      </c>
      <c r="D109" s="42" t="str">
        <f t="shared" si="92"/>
        <v>0</v>
      </c>
      <c r="E109" s="42" t="str">
        <f t="shared" si="92"/>
        <v>0</v>
      </c>
      <c r="F109" s="42" t="str">
        <f t="shared" si="92"/>
        <v>0</v>
      </c>
      <c r="G109" s="42" t="str">
        <f t="shared" si="92"/>
        <v>0</v>
      </c>
      <c r="H109" s="42" t="str">
        <f t="shared" si="92"/>
        <v>0</v>
      </c>
    </row>
    <row r="110">
      <c r="A110" s="42" t="str">
        <f t="shared" si="71"/>
        <v/>
      </c>
      <c r="B110" s="42" t="str">
        <f>D34*$B$90</f>
        <v>0</v>
      </c>
      <c r="C110" s="42" t="str">
        <f t="shared" ref="C110:H110" si="93">(B110/B$90)*C$90</f>
        <v>0</v>
      </c>
      <c r="D110" s="42" t="str">
        <f t="shared" si="93"/>
        <v>0</v>
      </c>
      <c r="E110" s="42" t="str">
        <f t="shared" si="93"/>
        <v>0</v>
      </c>
      <c r="F110" s="42" t="str">
        <f t="shared" si="93"/>
        <v>0</v>
      </c>
      <c r="G110" s="42" t="str">
        <f t="shared" si="93"/>
        <v>0</v>
      </c>
      <c r="H110" s="42" t="str">
        <f t="shared" si="93"/>
        <v>0</v>
      </c>
    </row>
    <row r="111">
      <c r="A111" s="42" t="str">
        <f t="shared" si="71"/>
        <v/>
      </c>
      <c r="B111" s="42" t="str">
        <f>D34*$B$90</f>
        <v>0</v>
      </c>
      <c r="C111" s="42" t="str">
        <f t="shared" ref="C111:H111" si="94">(B111/B$90)*C$90</f>
        <v>0</v>
      </c>
      <c r="D111" s="42" t="str">
        <f t="shared" si="94"/>
        <v>0</v>
      </c>
      <c r="E111" s="42" t="str">
        <f t="shared" si="94"/>
        <v>0</v>
      </c>
      <c r="F111" s="42" t="str">
        <f t="shared" si="94"/>
        <v>0</v>
      </c>
      <c r="G111" s="42" t="str">
        <f t="shared" si="94"/>
        <v>0</v>
      </c>
      <c r="H111" s="42" t="str">
        <f t="shared" si="94"/>
        <v>0</v>
      </c>
    </row>
    <row r="112">
      <c r="A112" s="42" t="str">
        <f t="shared" si="71"/>
        <v/>
      </c>
      <c r="B112" s="42" t="str">
        <f t="shared" ref="B112:B113" si="96">D36*$B$90</f>
        <v>0</v>
      </c>
      <c r="C112" s="42" t="str">
        <f t="shared" ref="C112:H112" si="95">(B112/B$90)*C$90</f>
        <v>0</v>
      </c>
      <c r="D112" s="42" t="str">
        <f t="shared" si="95"/>
        <v>0</v>
      </c>
      <c r="E112" s="42" t="str">
        <f t="shared" si="95"/>
        <v>0</v>
      </c>
      <c r="F112" s="42" t="str">
        <f t="shared" si="95"/>
        <v>0</v>
      </c>
      <c r="G112" s="42" t="str">
        <f t="shared" si="95"/>
        <v>0</v>
      </c>
      <c r="H112" s="42" t="str">
        <f t="shared" si="95"/>
        <v>0</v>
      </c>
    </row>
    <row r="113">
      <c r="A113" s="42"/>
      <c r="B113" s="42" t="str">
        <f t="shared" si="96"/>
        <v>0</v>
      </c>
      <c r="C113" s="42" t="str">
        <f t="shared" ref="C113:H113" si="97">(B113/B$90)*C$90</f>
        <v>0</v>
      </c>
      <c r="D113" s="42" t="str">
        <f t="shared" si="97"/>
        <v>0</v>
      </c>
      <c r="E113" s="42" t="str">
        <f t="shared" si="97"/>
        <v>0</v>
      </c>
      <c r="F113" s="42" t="str">
        <f t="shared" si="97"/>
        <v>0</v>
      </c>
      <c r="G113" s="42" t="str">
        <f t="shared" si="97"/>
        <v>0</v>
      </c>
      <c r="H113" s="42" t="str">
        <f t="shared" si="97"/>
        <v>0</v>
      </c>
    </row>
    <row r="115">
      <c r="C115" s="138"/>
      <c r="D115" s="80"/>
      <c r="E115" s="80"/>
      <c r="F115" s="80"/>
      <c r="G115" s="80"/>
      <c r="H115" s="80"/>
      <c r="I115" s="80"/>
    </row>
    <row r="116">
      <c r="A116" t="s">
        <v>574</v>
      </c>
      <c r="C116" s="155"/>
      <c r="D116" s="155"/>
      <c r="E116" s="155"/>
      <c r="F116" s="155"/>
      <c r="G116" s="155"/>
      <c r="H116" s="155"/>
      <c r="I116" s="155"/>
    </row>
    <row r="117">
      <c r="A117">
        <v>1.0</v>
      </c>
      <c r="B117" t="s">
        <v>575</v>
      </c>
    </row>
    <row r="118">
      <c r="A118">
        <v>2.0</v>
      </c>
      <c r="B118" t="s">
        <v>576</v>
      </c>
    </row>
    <row r="119">
      <c r="A119">
        <v>3.0</v>
      </c>
      <c r="B119" t="s">
        <v>577</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5" footer="0.0" header="0.0" left="0.25" right="0.25" top="0.75"/>
  <pageSetup scale="93"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c r="A1" s="25" t="s">
        <v>578</v>
      </c>
    </row>
    <row r="2">
      <c r="B2" s="138"/>
    </row>
    <row r="3">
      <c r="A3" s="321" t="s">
        <v>579</v>
      </c>
      <c r="B3" s="2"/>
    </row>
    <row r="4">
      <c r="A4" s="322" t="s">
        <v>156</v>
      </c>
      <c r="B4" s="323" t="s">
        <v>260</v>
      </c>
      <c r="C4" s="324"/>
      <c r="D4" s="324"/>
      <c r="E4" s="324"/>
      <c r="F4" s="324"/>
      <c r="G4" s="324"/>
      <c r="H4" s="324"/>
    </row>
    <row r="5">
      <c r="A5" s="42" t="s">
        <v>580</v>
      </c>
      <c r="B5" s="325"/>
      <c r="C5" s="120"/>
      <c r="D5" s="326"/>
      <c r="E5" s="326"/>
      <c r="F5" s="326"/>
      <c r="G5" s="326"/>
      <c r="H5" s="326"/>
    </row>
    <row r="6">
      <c r="A6" s="42" t="s">
        <v>581</v>
      </c>
      <c r="B6" s="325"/>
      <c r="C6" s="120"/>
      <c r="D6" s="326"/>
      <c r="E6" s="326"/>
      <c r="F6" s="326"/>
      <c r="G6" s="326"/>
      <c r="H6" s="326"/>
    </row>
    <row r="7">
      <c r="A7" s="327" t="s">
        <v>88</v>
      </c>
      <c r="B7" s="327" t="str">
        <f>B5+B6</f>
        <v>0</v>
      </c>
      <c r="C7" s="121"/>
      <c r="D7" s="328"/>
      <c r="E7" s="328"/>
      <c r="F7" s="328"/>
      <c r="G7" s="328"/>
      <c r="H7" s="328"/>
    </row>
    <row r="8">
      <c r="A8" s="327" t="s">
        <v>582</v>
      </c>
      <c r="B8" s="329">
        <v>1.0</v>
      </c>
      <c r="C8" s="121"/>
      <c r="D8" s="121"/>
      <c r="E8" s="121"/>
      <c r="F8" s="121"/>
      <c r="G8" s="121"/>
      <c r="H8" s="121"/>
    </row>
    <row r="9">
      <c r="A9" s="327" t="s">
        <v>583</v>
      </c>
      <c r="B9" s="327" t="str">
        <f>B7*B8</f>
        <v>0</v>
      </c>
      <c r="C9" s="328"/>
      <c r="D9" s="328"/>
      <c r="E9" s="328"/>
      <c r="F9" s="328"/>
      <c r="G9" s="328"/>
      <c r="H9" s="328"/>
    </row>
    <row r="10">
      <c r="J10" t="s">
        <v>540</v>
      </c>
      <c r="O10" t="s">
        <v>422</v>
      </c>
      <c r="U10" t="s">
        <v>16</v>
      </c>
      <c r="Y10" t="s">
        <v>541</v>
      </c>
      <c r="Z10" t="s">
        <v>542</v>
      </c>
    </row>
    <row r="11">
      <c r="A11" s="25" t="s">
        <v>584</v>
      </c>
      <c r="I11" s="121"/>
      <c r="J11" s="121"/>
      <c r="K11" s="121"/>
      <c r="L11" s="121"/>
      <c r="M11" s="121"/>
      <c r="N11" s="121"/>
      <c r="O11" s="121"/>
      <c r="P11" s="121"/>
    </row>
    <row r="12">
      <c r="J12" s="138">
        <v>0.65</v>
      </c>
      <c r="K12" s="331" t="str">
        <f t="shared" ref="K12:N12" si="1">J12+0.05</f>
        <v>70.0%</v>
      </c>
      <c r="L12" s="331" t="str">
        <f t="shared" si="1"/>
        <v>75.0%</v>
      </c>
      <c r="M12" s="331" t="str">
        <f t="shared" si="1"/>
        <v>80.0%</v>
      </c>
      <c r="N12" s="331" t="str">
        <f t="shared" si="1"/>
        <v>85.0%</v>
      </c>
      <c r="O12" s="138">
        <v>0.4</v>
      </c>
      <c r="P12" s="138" t="str">
        <f t="shared" ref="P12:T12" si="2">O12+0.05</f>
        <v>45%</v>
      </c>
      <c r="Q12" s="138" t="str">
        <f t="shared" si="2"/>
        <v>50%</v>
      </c>
      <c r="R12" s="138" t="str">
        <f t="shared" si="2"/>
        <v>55%</v>
      </c>
      <c r="S12" s="138" t="str">
        <f t="shared" si="2"/>
        <v>60%</v>
      </c>
      <c r="T12" s="138" t="str">
        <f t="shared" si="2"/>
        <v>65%</v>
      </c>
      <c r="U12" s="138">
        <v>0.1</v>
      </c>
      <c r="V12" s="80" t="str">
        <f t="shared" ref="V12:X12" si="3">U12+0.05</f>
        <v>15.00%</v>
      </c>
      <c r="W12" s="80" t="str">
        <f t="shared" si="3"/>
        <v>20.00%</v>
      </c>
      <c r="X12" s="80" t="str">
        <f t="shared" si="3"/>
        <v>25.00%</v>
      </c>
    </row>
    <row r="13">
      <c r="A13" s="322" t="s">
        <v>544</v>
      </c>
      <c r="B13" s="322" t="s">
        <v>545</v>
      </c>
      <c r="C13" s="332" t="s">
        <v>546</v>
      </c>
      <c r="D13" s="332" t="s">
        <v>547</v>
      </c>
      <c r="E13" s="332" t="s">
        <v>548</v>
      </c>
      <c r="F13" s="332" t="s">
        <v>549</v>
      </c>
      <c r="G13" s="332" t="s">
        <v>550</v>
      </c>
      <c r="H13" s="332" t="s">
        <v>551</v>
      </c>
      <c r="O13" s="333" t="s">
        <v>137</v>
      </c>
      <c r="P13" s="333" t="s">
        <v>138</v>
      </c>
      <c r="Q13" s="333" t="s">
        <v>139</v>
      </c>
      <c r="R13" s="333" t="s">
        <v>140</v>
      </c>
      <c r="S13" s="333" t="s">
        <v>141</v>
      </c>
      <c r="T13" s="333" t="s">
        <v>137</v>
      </c>
      <c r="U13" s="333" t="s">
        <v>138</v>
      </c>
      <c r="V13" s="333" t="s">
        <v>139</v>
      </c>
      <c r="W13" s="333" t="s">
        <v>140</v>
      </c>
      <c r="X13" s="333" t="s">
        <v>141</v>
      </c>
    </row>
    <row r="14">
      <c r="A14" s="334" t="s">
        <v>552</v>
      </c>
      <c r="B14" s="325" t="s">
        <v>585</v>
      </c>
      <c r="C14" s="335">
        <v>0.0</v>
      </c>
      <c r="D14" s="42" t="str">
        <f t="shared" ref="D14:D22" si="5">$B$9*C14</f>
        <v>0</v>
      </c>
      <c r="E14" s="340">
        <v>15.0</v>
      </c>
      <c r="F14" s="42" t="str">
        <f t="shared" ref="F14:F22" si="6">D14*E14</f>
        <v>0</v>
      </c>
      <c r="G14" s="338">
        <v>0.1</v>
      </c>
      <c r="H14" s="42" t="str">
        <f t="shared" ref="H14:H22" si="7">(F14-F14*G14)</f>
        <v>0</v>
      </c>
      <c r="J14" t="str">
        <f t="shared" ref="J14:N14" si="4">$D$14*J12</f>
        <v>0</v>
      </c>
      <c r="K14" t="str">
        <f t="shared" si="4"/>
        <v>0</v>
      </c>
      <c r="L14" t="str">
        <f t="shared" si="4"/>
        <v>0</v>
      </c>
      <c r="M14" t="str">
        <f t="shared" si="4"/>
        <v>0</v>
      </c>
      <c r="N14" t="str">
        <f t="shared" si="4"/>
        <v>0</v>
      </c>
    </row>
    <row r="15">
      <c r="A15" s="20"/>
      <c r="B15" s="325" t="s">
        <v>586</v>
      </c>
      <c r="C15" s="335">
        <v>0.0</v>
      </c>
      <c r="D15" s="42" t="str">
        <f t="shared" si="5"/>
        <v>0</v>
      </c>
      <c r="E15" s="340">
        <v>7.0</v>
      </c>
      <c r="F15" s="42" t="str">
        <f t="shared" si="6"/>
        <v>0</v>
      </c>
      <c r="G15" s="338">
        <v>0.05</v>
      </c>
      <c r="H15" s="42" t="str">
        <f t="shared" si="7"/>
        <v>0</v>
      </c>
    </row>
    <row r="16">
      <c r="A16" s="20"/>
      <c r="B16" s="325" t="s">
        <v>587</v>
      </c>
      <c r="C16" s="335">
        <v>0.0</v>
      </c>
      <c r="D16" s="42" t="str">
        <f t="shared" si="5"/>
        <v>0</v>
      </c>
      <c r="E16" s="340">
        <v>4.0</v>
      </c>
      <c r="F16" s="42" t="str">
        <f t="shared" si="6"/>
        <v>0</v>
      </c>
      <c r="G16" s="338">
        <v>0.0</v>
      </c>
      <c r="H16" s="42" t="str">
        <f t="shared" si="7"/>
        <v>0</v>
      </c>
    </row>
    <row r="17">
      <c r="A17" s="20"/>
      <c r="B17" s="325" t="s">
        <v>588</v>
      </c>
      <c r="C17" s="335">
        <v>0.0</v>
      </c>
      <c r="D17" s="42" t="str">
        <f t="shared" si="5"/>
        <v>0</v>
      </c>
      <c r="E17" s="340">
        <v>7.0</v>
      </c>
      <c r="F17" s="42" t="str">
        <f t="shared" si="6"/>
        <v>0</v>
      </c>
      <c r="G17" s="338">
        <v>0.02</v>
      </c>
      <c r="H17" s="42" t="str">
        <f t="shared" si="7"/>
        <v>0</v>
      </c>
    </row>
    <row r="18">
      <c r="A18" s="20"/>
      <c r="B18" s="325" t="s">
        <v>589</v>
      </c>
      <c r="C18" s="335">
        <v>0.0</v>
      </c>
      <c r="D18" s="42" t="str">
        <f t="shared" si="5"/>
        <v>0</v>
      </c>
      <c r="E18" s="340">
        <v>20.0</v>
      </c>
      <c r="F18" s="42" t="str">
        <f t="shared" si="6"/>
        <v>0</v>
      </c>
      <c r="G18" s="338">
        <v>0.0</v>
      </c>
      <c r="H18" s="42" t="str">
        <f t="shared" si="7"/>
        <v>0</v>
      </c>
    </row>
    <row r="19">
      <c r="A19" s="20"/>
      <c r="B19" s="325"/>
      <c r="C19" s="335">
        <v>0.0</v>
      </c>
      <c r="D19" s="42" t="str">
        <f t="shared" si="5"/>
        <v>0</v>
      </c>
      <c r="E19" s="340">
        <v>7.0</v>
      </c>
      <c r="F19" s="42" t="str">
        <f t="shared" si="6"/>
        <v>0</v>
      </c>
      <c r="G19" s="338">
        <v>0.1</v>
      </c>
      <c r="H19" s="42" t="str">
        <f t="shared" si="7"/>
        <v>0</v>
      </c>
    </row>
    <row r="20">
      <c r="A20" s="20"/>
      <c r="B20" s="325"/>
      <c r="C20" s="335">
        <v>0.0</v>
      </c>
      <c r="D20" s="42" t="str">
        <f t="shared" si="5"/>
        <v>0</v>
      </c>
      <c r="E20" s="340">
        <v>6.0</v>
      </c>
      <c r="F20" s="42" t="str">
        <f t="shared" si="6"/>
        <v>0</v>
      </c>
      <c r="G20" s="338">
        <v>0.02</v>
      </c>
      <c r="H20" s="42" t="str">
        <f t="shared" si="7"/>
        <v>0</v>
      </c>
    </row>
    <row r="21">
      <c r="A21" s="20"/>
      <c r="B21" s="325"/>
      <c r="C21" s="335">
        <v>0.0</v>
      </c>
      <c r="D21" s="42" t="str">
        <f t="shared" si="5"/>
        <v>0</v>
      </c>
      <c r="E21" s="340"/>
      <c r="F21" s="42" t="str">
        <f t="shared" si="6"/>
        <v>0</v>
      </c>
      <c r="G21" s="338">
        <v>0.0</v>
      </c>
      <c r="H21" s="42" t="str">
        <f t="shared" si="7"/>
        <v>0</v>
      </c>
    </row>
    <row r="22">
      <c r="A22" s="21"/>
      <c r="B22" s="325"/>
      <c r="C22" s="335">
        <v>0.0</v>
      </c>
      <c r="D22" s="42" t="str">
        <f t="shared" si="5"/>
        <v>0</v>
      </c>
      <c r="E22" s="340"/>
      <c r="F22" s="42" t="str">
        <f t="shared" si="6"/>
        <v>0</v>
      </c>
      <c r="G22" s="338">
        <v>0.0</v>
      </c>
      <c r="H22" s="42" t="str">
        <f t="shared" si="7"/>
        <v>0</v>
      </c>
    </row>
    <row r="23">
      <c r="A23" s="352" t="s">
        <v>590</v>
      </c>
      <c r="B23" s="335"/>
      <c r="C23" s="325" t="str">
        <f>B9*B23</f>
        <v>0</v>
      </c>
      <c r="D23" s="42"/>
      <c r="E23" s="340"/>
      <c r="F23" s="42"/>
      <c r="G23" s="338"/>
      <c r="H23" s="42"/>
    </row>
    <row r="24">
      <c r="A24" s="334" t="s">
        <v>563</v>
      </c>
      <c r="B24" s="325" t="s">
        <v>585</v>
      </c>
      <c r="C24" s="335">
        <v>0.0</v>
      </c>
      <c r="D24" s="42" t="str">
        <f t="shared" ref="D24:D31" si="8">C$23*C24</f>
        <v>0</v>
      </c>
      <c r="E24" s="340">
        <v>10.0</v>
      </c>
      <c r="F24" s="42" t="str">
        <f t="shared" ref="F24:F31" si="9">D24*E24</f>
        <v>0</v>
      </c>
      <c r="G24" s="338">
        <v>0.1</v>
      </c>
      <c r="H24" s="42" t="str">
        <f t="shared" ref="H24:H31" si="10">(F24-F24*G24)</f>
        <v>0</v>
      </c>
    </row>
    <row r="25">
      <c r="A25" s="20"/>
      <c r="B25" s="325" t="s">
        <v>586</v>
      </c>
      <c r="C25" s="335">
        <v>0.0</v>
      </c>
      <c r="D25" s="42" t="str">
        <f t="shared" si="8"/>
        <v>0</v>
      </c>
      <c r="E25" s="340">
        <v>10.0</v>
      </c>
      <c r="F25" s="42" t="str">
        <f t="shared" si="9"/>
        <v>0</v>
      </c>
      <c r="G25" s="338">
        <v>0.1</v>
      </c>
      <c r="H25" s="42" t="str">
        <f t="shared" si="10"/>
        <v>0</v>
      </c>
    </row>
    <row r="26">
      <c r="A26" s="20"/>
      <c r="B26" s="325" t="s">
        <v>587</v>
      </c>
      <c r="C26" s="335">
        <v>0.0</v>
      </c>
      <c r="D26" s="42" t="str">
        <f t="shared" si="8"/>
        <v>0</v>
      </c>
      <c r="E26" s="340">
        <v>10.0</v>
      </c>
      <c r="F26" s="42" t="str">
        <f t="shared" si="9"/>
        <v>0</v>
      </c>
      <c r="G26" s="338">
        <v>0.05</v>
      </c>
      <c r="H26" s="42" t="str">
        <f t="shared" si="10"/>
        <v>0</v>
      </c>
    </row>
    <row r="27">
      <c r="A27" s="20"/>
      <c r="B27" s="325" t="s">
        <v>588</v>
      </c>
      <c r="C27" s="335">
        <v>0.0</v>
      </c>
      <c r="D27" s="42" t="str">
        <f t="shared" si="8"/>
        <v>0</v>
      </c>
      <c r="E27" s="340">
        <v>20.0</v>
      </c>
      <c r="F27" s="42" t="str">
        <f t="shared" si="9"/>
        <v>0</v>
      </c>
      <c r="G27" s="338">
        <v>0.0</v>
      </c>
      <c r="H27" s="42" t="str">
        <f t="shared" si="10"/>
        <v>0</v>
      </c>
    </row>
    <row r="28">
      <c r="A28" s="20"/>
      <c r="B28" s="325" t="s">
        <v>591</v>
      </c>
      <c r="C28" s="335">
        <v>0.0</v>
      </c>
      <c r="D28" s="42" t="str">
        <f t="shared" si="8"/>
        <v>0</v>
      </c>
      <c r="E28" s="340"/>
      <c r="F28" s="42" t="str">
        <f t="shared" si="9"/>
        <v>0</v>
      </c>
      <c r="G28" s="338">
        <v>0.0</v>
      </c>
      <c r="H28" s="42" t="str">
        <f t="shared" si="10"/>
        <v>0</v>
      </c>
    </row>
    <row r="29">
      <c r="A29" s="20"/>
      <c r="B29" s="325"/>
      <c r="C29" s="335">
        <v>0.0</v>
      </c>
      <c r="D29" s="42" t="str">
        <f t="shared" si="8"/>
        <v>0</v>
      </c>
      <c r="E29" s="340"/>
      <c r="F29" s="42" t="str">
        <f t="shared" si="9"/>
        <v>0</v>
      </c>
      <c r="G29" s="338">
        <v>0.0</v>
      </c>
      <c r="H29" s="42" t="str">
        <f t="shared" si="10"/>
        <v>0</v>
      </c>
    </row>
    <row r="30">
      <c r="A30" s="20"/>
      <c r="B30" s="325"/>
      <c r="C30" s="335">
        <v>0.0</v>
      </c>
      <c r="D30" s="42" t="str">
        <f t="shared" si="8"/>
        <v>0</v>
      </c>
      <c r="E30" s="340"/>
      <c r="F30" s="42" t="str">
        <f t="shared" si="9"/>
        <v>0</v>
      </c>
      <c r="G30" s="338">
        <v>0.0</v>
      </c>
      <c r="H30" s="42" t="str">
        <f t="shared" si="10"/>
        <v>0</v>
      </c>
    </row>
    <row r="31">
      <c r="A31" s="21"/>
      <c r="B31" s="325"/>
      <c r="C31" s="335">
        <v>0.0</v>
      </c>
      <c r="D31" s="42" t="str">
        <f t="shared" si="8"/>
        <v>0</v>
      </c>
      <c r="E31" s="340"/>
      <c r="F31" s="42" t="str">
        <f t="shared" si="9"/>
        <v>0</v>
      </c>
      <c r="G31" s="338">
        <v>0.0</v>
      </c>
      <c r="H31" s="42" t="str">
        <f t="shared" si="10"/>
        <v>0</v>
      </c>
    </row>
    <row r="32">
      <c r="A32" s="352" t="s">
        <v>592</v>
      </c>
      <c r="B32" s="335"/>
      <c r="C32" s="325" t="str">
        <f>B9*B32</f>
        <v>0</v>
      </c>
      <c r="D32" s="42"/>
      <c r="E32" s="340"/>
      <c r="F32" s="42"/>
      <c r="G32" s="338"/>
      <c r="H32" s="42"/>
    </row>
    <row r="33">
      <c r="A33" s="341" t="s">
        <v>568</v>
      </c>
      <c r="B33" s="325"/>
      <c r="C33" s="335">
        <v>0.0</v>
      </c>
      <c r="D33" s="42" t="str">
        <f t="shared" ref="D33:D36" si="11">C$32*C33</f>
        <v>0</v>
      </c>
      <c r="E33" s="340"/>
      <c r="F33" s="42" t="str">
        <f t="shared" ref="F33:F40" si="12">D33*E33</f>
        <v>0</v>
      </c>
      <c r="G33" s="338">
        <v>0.0</v>
      </c>
      <c r="H33" s="42" t="str">
        <f t="shared" ref="H33:H40" si="13">(F33-F33*G33)</f>
        <v>0</v>
      </c>
    </row>
    <row r="34">
      <c r="A34" s="18"/>
      <c r="B34" s="325"/>
      <c r="C34" s="335">
        <v>0.0</v>
      </c>
      <c r="D34" s="42" t="str">
        <f t="shared" si="11"/>
        <v>0</v>
      </c>
      <c r="E34" s="340"/>
      <c r="F34" s="42" t="str">
        <f t="shared" si="12"/>
        <v>0</v>
      </c>
      <c r="G34" s="338">
        <v>0.0</v>
      </c>
      <c r="H34" s="42" t="str">
        <f t="shared" si="13"/>
        <v>0</v>
      </c>
    </row>
    <row r="35">
      <c r="A35" s="18"/>
      <c r="B35" s="325"/>
      <c r="C35" s="335">
        <v>0.0</v>
      </c>
      <c r="D35" s="42" t="str">
        <f t="shared" si="11"/>
        <v>0</v>
      </c>
      <c r="E35" s="340"/>
      <c r="F35" s="42" t="str">
        <f t="shared" si="12"/>
        <v>0</v>
      </c>
      <c r="G35" s="338">
        <v>0.0</v>
      </c>
      <c r="H35" s="42" t="str">
        <f t="shared" si="13"/>
        <v>0</v>
      </c>
    </row>
    <row r="36">
      <c r="A36" s="342"/>
      <c r="B36" s="325"/>
      <c r="C36" s="335">
        <v>0.0</v>
      </c>
      <c r="D36" s="42" t="str">
        <f t="shared" si="11"/>
        <v>0</v>
      </c>
      <c r="E36" s="340"/>
      <c r="F36" s="42" t="str">
        <f t="shared" si="12"/>
        <v>0</v>
      </c>
      <c r="G36" s="338">
        <v>0.0</v>
      </c>
      <c r="H36" s="42" t="str">
        <f t="shared" si="13"/>
        <v>0</v>
      </c>
    </row>
    <row r="37">
      <c r="A37" s="353" t="s">
        <v>593</v>
      </c>
      <c r="B37" s="325" t="s">
        <v>427</v>
      </c>
      <c r="C37" s="335">
        <v>0.0</v>
      </c>
      <c r="D37" s="42" t="str">
        <f t="shared" ref="D37:D40" si="14">$B$9*C37</f>
        <v>0</v>
      </c>
      <c r="E37" s="340">
        <v>6.0</v>
      </c>
      <c r="F37" s="42" t="str">
        <f t="shared" si="12"/>
        <v>0</v>
      </c>
      <c r="G37" s="338">
        <v>0.05</v>
      </c>
      <c r="H37" s="42" t="str">
        <f t="shared" si="13"/>
        <v>0</v>
      </c>
    </row>
    <row r="38">
      <c r="A38" s="20"/>
      <c r="B38" s="325" t="s">
        <v>594</v>
      </c>
      <c r="C38" s="335">
        <v>0.0</v>
      </c>
      <c r="D38" s="42" t="str">
        <f t="shared" si="14"/>
        <v>0</v>
      </c>
      <c r="E38" s="340"/>
      <c r="F38" s="42" t="str">
        <f t="shared" si="12"/>
        <v>0</v>
      </c>
      <c r="G38" s="338">
        <v>0.0</v>
      </c>
      <c r="H38" s="42" t="str">
        <f t="shared" si="13"/>
        <v>0</v>
      </c>
    </row>
    <row r="39">
      <c r="A39" s="20"/>
      <c r="B39" s="325" t="s">
        <v>595</v>
      </c>
      <c r="C39" s="335">
        <v>0.0</v>
      </c>
      <c r="D39" s="42" t="str">
        <f t="shared" si="14"/>
        <v>0</v>
      </c>
      <c r="E39" s="340"/>
      <c r="F39" s="42" t="str">
        <f t="shared" si="12"/>
        <v>0</v>
      </c>
      <c r="G39" s="338">
        <v>0.0</v>
      </c>
      <c r="H39" s="42" t="str">
        <f t="shared" si="13"/>
        <v>0</v>
      </c>
    </row>
    <row r="40">
      <c r="A40" s="21"/>
      <c r="B40" s="325" t="s">
        <v>596</v>
      </c>
      <c r="C40" s="335">
        <v>0.0</v>
      </c>
      <c r="D40" s="42" t="str">
        <f t="shared" si="14"/>
        <v>0</v>
      </c>
      <c r="E40" s="340"/>
      <c r="F40" s="42" t="str">
        <f t="shared" si="12"/>
        <v>0</v>
      </c>
      <c r="G40" s="338">
        <v>0.0</v>
      </c>
      <c r="H40" s="42" t="str">
        <f t="shared" si="13"/>
        <v>0</v>
      </c>
    </row>
    <row r="41">
      <c r="A41" s="155" t="s">
        <v>570</v>
      </c>
    </row>
    <row r="43">
      <c r="A43" s="343" t="s">
        <v>597</v>
      </c>
      <c r="B43" s="5"/>
      <c r="C43" s="5"/>
      <c r="D43" s="5"/>
      <c r="E43" s="5"/>
      <c r="F43" s="5"/>
      <c r="G43" s="5"/>
      <c r="H43" s="6"/>
    </row>
    <row r="44">
      <c r="A44" s="344" t="s">
        <v>156</v>
      </c>
      <c r="B44" s="354">
        <v>0.35</v>
      </c>
      <c r="C44" s="354" t="str">
        <f t="shared" ref="C44:H44" si="15">B44+0.05</f>
        <v>40%</v>
      </c>
      <c r="D44" s="354" t="str">
        <f t="shared" si="15"/>
        <v>45%</v>
      </c>
      <c r="E44" s="354" t="str">
        <f t="shared" si="15"/>
        <v>50%</v>
      </c>
      <c r="F44" s="354" t="str">
        <f t="shared" si="15"/>
        <v>55%</v>
      </c>
      <c r="G44" s="354" t="str">
        <f t="shared" si="15"/>
        <v>60%</v>
      </c>
      <c r="H44" s="354" t="str">
        <f t="shared" si="15"/>
        <v>65%</v>
      </c>
    </row>
    <row r="45">
      <c r="A45" s="21"/>
      <c r="B45" s="323" t="s">
        <v>137</v>
      </c>
      <c r="C45" s="323" t="s">
        <v>138</v>
      </c>
      <c r="D45" s="323" t="s">
        <v>139</v>
      </c>
      <c r="E45" s="323" t="s">
        <v>140</v>
      </c>
      <c r="F45" s="323" t="s">
        <v>141</v>
      </c>
      <c r="G45" s="323" t="s">
        <v>142</v>
      </c>
      <c r="H45" s="323" t="s">
        <v>143</v>
      </c>
    </row>
    <row r="46">
      <c r="A46" s="42" t="str">
        <f t="shared" ref="A46:A54" si="17">B14</f>
        <v>Onion</v>
      </c>
      <c r="B46" s="42" t="str">
        <f t="shared" ref="B46:B54" si="18">H14*$B$44</f>
        <v>0</v>
      </c>
      <c r="C46" s="42" t="str">
        <f t="shared" ref="C46:H46" si="16">(B46/B$44)*C$44</f>
        <v>0</v>
      </c>
      <c r="D46" s="42" t="str">
        <f t="shared" si="16"/>
        <v>0</v>
      </c>
      <c r="E46" s="42" t="str">
        <f t="shared" si="16"/>
        <v>0</v>
      </c>
      <c r="F46" s="42" t="str">
        <f t="shared" si="16"/>
        <v>0</v>
      </c>
      <c r="G46" s="42" t="str">
        <f t="shared" si="16"/>
        <v>0</v>
      </c>
      <c r="H46" s="42" t="str">
        <f t="shared" si="16"/>
        <v>0</v>
      </c>
    </row>
    <row r="47">
      <c r="A47" s="42" t="str">
        <f t="shared" si="17"/>
        <v>Tomato</v>
      </c>
      <c r="B47" s="42" t="str">
        <f t="shared" si="18"/>
        <v>0</v>
      </c>
      <c r="C47" s="42" t="str">
        <f t="shared" ref="C47:H47" si="19">(B47/B$44)*C$44</f>
        <v>0</v>
      </c>
      <c r="D47" s="42" t="str">
        <f t="shared" si="19"/>
        <v>0</v>
      </c>
      <c r="E47" s="42" t="str">
        <f t="shared" si="19"/>
        <v>0</v>
      </c>
      <c r="F47" s="42" t="str">
        <f t="shared" si="19"/>
        <v>0</v>
      </c>
      <c r="G47" s="42" t="str">
        <f t="shared" si="19"/>
        <v>0</v>
      </c>
      <c r="H47" s="42" t="str">
        <f t="shared" si="19"/>
        <v>0</v>
      </c>
    </row>
    <row r="48">
      <c r="A48" s="42" t="str">
        <f t="shared" si="17"/>
        <v>Okra</v>
      </c>
      <c r="B48" s="42" t="str">
        <f t="shared" si="18"/>
        <v>0</v>
      </c>
      <c r="C48" s="42" t="str">
        <f t="shared" ref="C48:H48" si="20">(B48/B$44)*C$44</f>
        <v>0</v>
      </c>
      <c r="D48" s="42" t="str">
        <f t="shared" si="20"/>
        <v>0</v>
      </c>
      <c r="E48" s="42" t="str">
        <f t="shared" si="20"/>
        <v>0</v>
      </c>
      <c r="F48" s="42" t="str">
        <f t="shared" si="20"/>
        <v>0</v>
      </c>
      <c r="G48" s="42" t="str">
        <f t="shared" si="20"/>
        <v>0</v>
      </c>
      <c r="H48" s="42" t="str">
        <f t="shared" si="20"/>
        <v>0</v>
      </c>
    </row>
    <row r="49">
      <c r="A49" s="42" t="str">
        <f t="shared" si="17"/>
        <v>Chilli</v>
      </c>
      <c r="B49" s="42" t="str">
        <f t="shared" si="18"/>
        <v>0</v>
      </c>
      <c r="C49" s="42" t="str">
        <f t="shared" ref="C49:H49" si="21">(B49/B$44)*C$44</f>
        <v>0</v>
      </c>
      <c r="D49" s="42" t="str">
        <f t="shared" si="21"/>
        <v>0</v>
      </c>
      <c r="E49" s="42" t="str">
        <f t="shared" si="21"/>
        <v>0</v>
      </c>
      <c r="F49" s="42" t="str">
        <f t="shared" si="21"/>
        <v>0</v>
      </c>
      <c r="G49" s="42" t="str">
        <f t="shared" si="21"/>
        <v>0</v>
      </c>
      <c r="H49" s="42" t="str">
        <f t="shared" si="21"/>
        <v>0</v>
      </c>
    </row>
    <row r="50">
      <c r="A50" s="42" t="str">
        <f t="shared" si="17"/>
        <v>Potato</v>
      </c>
      <c r="B50" s="42" t="str">
        <f t="shared" si="18"/>
        <v>0</v>
      </c>
      <c r="C50" s="42" t="str">
        <f t="shared" ref="C50:H50" si="22">(B50/B$44)*C$44</f>
        <v>0</v>
      </c>
      <c r="D50" s="42" t="str">
        <f t="shared" si="22"/>
        <v>0</v>
      </c>
      <c r="E50" s="42" t="str">
        <f t="shared" si="22"/>
        <v>0</v>
      </c>
      <c r="F50" s="42" t="str">
        <f t="shared" si="22"/>
        <v>0</v>
      </c>
      <c r="G50" s="42" t="str">
        <f t="shared" si="22"/>
        <v>0</v>
      </c>
      <c r="H50" s="42" t="str">
        <f t="shared" si="22"/>
        <v>0</v>
      </c>
    </row>
    <row r="51">
      <c r="A51" s="42" t="str">
        <f t="shared" si="17"/>
        <v/>
      </c>
      <c r="B51" s="42" t="str">
        <f t="shared" si="18"/>
        <v>0</v>
      </c>
      <c r="C51" s="42" t="str">
        <f t="shared" ref="C51:H51" si="23">(B51/B$44)*C$44</f>
        <v>0</v>
      </c>
      <c r="D51" s="42" t="str">
        <f t="shared" si="23"/>
        <v>0</v>
      </c>
      <c r="E51" s="42" t="str">
        <f t="shared" si="23"/>
        <v>0</v>
      </c>
      <c r="F51" s="42" t="str">
        <f t="shared" si="23"/>
        <v>0</v>
      </c>
      <c r="G51" s="42" t="str">
        <f t="shared" si="23"/>
        <v>0</v>
      </c>
      <c r="H51" s="42" t="str">
        <f t="shared" si="23"/>
        <v>0</v>
      </c>
    </row>
    <row r="52">
      <c r="A52" s="42" t="str">
        <f t="shared" si="17"/>
        <v/>
      </c>
      <c r="B52" s="42" t="str">
        <f t="shared" si="18"/>
        <v>0</v>
      </c>
      <c r="C52" s="42" t="str">
        <f t="shared" ref="C52:H52" si="24">(B52/B$44)*C$44</f>
        <v>0</v>
      </c>
      <c r="D52" s="42" t="str">
        <f t="shared" si="24"/>
        <v>0</v>
      </c>
      <c r="E52" s="42" t="str">
        <f t="shared" si="24"/>
        <v>0</v>
      </c>
      <c r="F52" s="42" t="str">
        <f t="shared" si="24"/>
        <v>0</v>
      </c>
      <c r="G52" s="42" t="str">
        <f t="shared" si="24"/>
        <v>0</v>
      </c>
      <c r="H52" s="42" t="str">
        <f t="shared" si="24"/>
        <v>0</v>
      </c>
    </row>
    <row r="53">
      <c r="A53" s="42" t="str">
        <f t="shared" si="17"/>
        <v/>
      </c>
      <c r="B53" s="42" t="str">
        <f t="shared" si="18"/>
        <v>0</v>
      </c>
      <c r="C53" s="42" t="str">
        <f t="shared" ref="C53:H53" si="25">(B53/B$44)*C$44</f>
        <v>0</v>
      </c>
      <c r="D53" s="42" t="str">
        <f t="shared" si="25"/>
        <v>0</v>
      </c>
      <c r="E53" s="42" t="str">
        <f t="shared" si="25"/>
        <v>0</v>
      </c>
      <c r="F53" s="42" t="str">
        <f t="shared" si="25"/>
        <v>0</v>
      </c>
      <c r="G53" s="42" t="str">
        <f t="shared" si="25"/>
        <v>0</v>
      </c>
      <c r="H53" s="42" t="str">
        <f t="shared" si="25"/>
        <v>0</v>
      </c>
    </row>
    <row r="54">
      <c r="A54" s="42" t="str">
        <f t="shared" si="17"/>
        <v/>
      </c>
      <c r="B54" s="42" t="str">
        <f t="shared" si="18"/>
        <v>0</v>
      </c>
      <c r="C54" s="42" t="str">
        <f t="shared" ref="C54:H54" si="26">(B54/B$44)*C$44</f>
        <v>0</v>
      </c>
      <c r="D54" s="42" t="str">
        <f t="shared" si="26"/>
        <v>0</v>
      </c>
      <c r="E54" s="42" t="str">
        <f t="shared" si="26"/>
        <v>0</v>
      </c>
      <c r="F54" s="42" t="str">
        <f t="shared" si="26"/>
        <v>0</v>
      </c>
      <c r="G54" s="42" t="str">
        <f t="shared" si="26"/>
        <v>0</v>
      </c>
      <c r="H54" s="42" t="str">
        <f t="shared" si="26"/>
        <v>0</v>
      </c>
    </row>
    <row r="55">
      <c r="A55" s="42" t="str">
        <f t="shared" ref="A55:A62" si="28">B24</f>
        <v>Onion</v>
      </c>
      <c r="B55" s="42" t="str">
        <f t="shared" ref="B55:B62" si="29">H24*$B$44</f>
        <v>0</v>
      </c>
      <c r="C55" s="42" t="str">
        <f t="shared" ref="C55:H55" si="27">(B55/B$44)*C$44</f>
        <v>0</v>
      </c>
      <c r="D55" s="42" t="str">
        <f t="shared" si="27"/>
        <v>0</v>
      </c>
      <c r="E55" s="42" t="str">
        <f t="shared" si="27"/>
        <v>0</v>
      </c>
      <c r="F55" s="42" t="str">
        <f t="shared" si="27"/>
        <v>0</v>
      </c>
      <c r="G55" s="42" t="str">
        <f t="shared" si="27"/>
        <v>0</v>
      </c>
      <c r="H55" s="42" t="str">
        <f t="shared" si="27"/>
        <v>0</v>
      </c>
    </row>
    <row r="56">
      <c r="A56" s="42" t="str">
        <f t="shared" si="28"/>
        <v>Tomato</v>
      </c>
      <c r="B56" s="42" t="str">
        <f t="shared" si="29"/>
        <v>0</v>
      </c>
      <c r="C56" s="42" t="str">
        <f t="shared" ref="C56:H56" si="30">(B56/B$44)*C$44</f>
        <v>0</v>
      </c>
      <c r="D56" s="42" t="str">
        <f t="shared" si="30"/>
        <v>0</v>
      </c>
      <c r="E56" s="42" t="str">
        <f t="shared" si="30"/>
        <v>0</v>
      </c>
      <c r="F56" s="42" t="str">
        <f t="shared" si="30"/>
        <v>0</v>
      </c>
      <c r="G56" s="42" t="str">
        <f t="shared" si="30"/>
        <v>0</v>
      </c>
      <c r="H56" s="42" t="str">
        <f t="shared" si="30"/>
        <v>0</v>
      </c>
    </row>
    <row r="57">
      <c r="A57" s="42" t="str">
        <f t="shared" si="28"/>
        <v>Okra</v>
      </c>
      <c r="B57" s="42" t="str">
        <f t="shared" si="29"/>
        <v>0</v>
      </c>
      <c r="C57" s="42" t="str">
        <f t="shared" ref="C57:H57" si="31">(B57/B$44)*C$44</f>
        <v>0</v>
      </c>
      <c r="D57" s="42" t="str">
        <f t="shared" si="31"/>
        <v>0</v>
      </c>
      <c r="E57" s="42" t="str">
        <f t="shared" si="31"/>
        <v>0</v>
      </c>
      <c r="F57" s="42" t="str">
        <f t="shared" si="31"/>
        <v>0</v>
      </c>
      <c r="G57" s="42" t="str">
        <f t="shared" si="31"/>
        <v>0</v>
      </c>
      <c r="H57" s="42" t="str">
        <f t="shared" si="31"/>
        <v>0</v>
      </c>
    </row>
    <row r="58">
      <c r="A58" s="42" t="str">
        <f t="shared" si="28"/>
        <v>Chilli</v>
      </c>
      <c r="B58" s="42" t="str">
        <f t="shared" si="29"/>
        <v>0</v>
      </c>
      <c r="C58" s="42" t="str">
        <f t="shared" ref="C58:H58" si="32">(B58/B$44)*C$44</f>
        <v>0</v>
      </c>
      <c r="D58" s="42" t="str">
        <f t="shared" si="32"/>
        <v>0</v>
      </c>
      <c r="E58" s="42" t="str">
        <f t="shared" si="32"/>
        <v>0</v>
      </c>
      <c r="F58" s="42" t="str">
        <f t="shared" si="32"/>
        <v>0</v>
      </c>
      <c r="G58" s="42" t="str">
        <f t="shared" si="32"/>
        <v>0</v>
      </c>
      <c r="H58" s="42" t="str">
        <f t="shared" si="32"/>
        <v>0</v>
      </c>
    </row>
    <row r="59">
      <c r="A59" s="42" t="str">
        <f t="shared" si="28"/>
        <v>Brinjal</v>
      </c>
      <c r="B59" s="42" t="str">
        <f t="shared" si="29"/>
        <v>0</v>
      </c>
      <c r="C59" s="42" t="str">
        <f t="shared" ref="C59:H59" si="33">(B59/B$44)*C$44</f>
        <v>0</v>
      </c>
      <c r="D59" s="42" t="str">
        <f t="shared" si="33"/>
        <v>0</v>
      </c>
      <c r="E59" s="42" t="str">
        <f t="shared" si="33"/>
        <v>0</v>
      </c>
      <c r="F59" s="42" t="str">
        <f t="shared" si="33"/>
        <v>0</v>
      </c>
      <c r="G59" s="42" t="str">
        <f t="shared" si="33"/>
        <v>0</v>
      </c>
      <c r="H59" s="42" t="str">
        <f t="shared" si="33"/>
        <v>0</v>
      </c>
    </row>
    <row r="60">
      <c r="A60" s="42" t="str">
        <f t="shared" si="28"/>
        <v/>
      </c>
      <c r="B60" s="42" t="str">
        <f t="shared" si="29"/>
        <v>0</v>
      </c>
      <c r="C60" s="42" t="str">
        <f t="shared" ref="C60:H60" si="34">(B60/B$44)*C$44</f>
        <v>0</v>
      </c>
      <c r="D60" s="42" t="str">
        <f t="shared" si="34"/>
        <v>0</v>
      </c>
      <c r="E60" s="42" t="str">
        <f t="shared" si="34"/>
        <v>0</v>
      </c>
      <c r="F60" s="42" t="str">
        <f t="shared" si="34"/>
        <v>0</v>
      </c>
      <c r="G60" s="42" t="str">
        <f t="shared" si="34"/>
        <v>0</v>
      </c>
      <c r="H60" s="42" t="str">
        <f t="shared" si="34"/>
        <v>0</v>
      </c>
    </row>
    <row r="61">
      <c r="A61" s="42" t="str">
        <f t="shared" si="28"/>
        <v/>
      </c>
      <c r="B61" s="42" t="str">
        <f t="shared" si="29"/>
        <v>0</v>
      </c>
      <c r="C61" s="42" t="str">
        <f t="shared" ref="C61:H61" si="35">(B61/B$44)*C$44</f>
        <v>0</v>
      </c>
      <c r="D61" s="42" t="str">
        <f t="shared" si="35"/>
        <v>0</v>
      </c>
      <c r="E61" s="42" t="str">
        <f t="shared" si="35"/>
        <v>0</v>
      </c>
      <c r="F61" s="42" t="str">
        <f t="shared" si="35"/>
        <v>0</v>
      </c>
      <c r="G61" s="42" t="str">
        <f t="shared" si="35"/>
        <v>0</v>
      </c>
      <c r="H61" s="42" t="str">
        <f t="shared" si="35"/>
        <v>0</v>
      </c>
    </row>
    <row r="62">
      <c r="A62" s="42" t="str">
        <f t="shared" si="28"/>
        <v/>
      </c>
      <c r="B62" s="42" t="str">
        <f t="shared" si="29"/>
        <v>0</v>
      </c>
      <c r="C62" s="42" t="str">
        <f t="shared" ref="C62:H62" si="36">(B62/B$44)*C$44</f>
        <v>0</v>
      </c>
      <c r="D62" s="42" t="str">
        <f t="shared" si="36"/>
        <v>0</v>
      </c>
      <c r="E62" s="42" t="str">
        <f t="shared" si="36"/>
        <v>0</v>
      </c>
      <c r="F62" s="42" t="str">
        <f t="shared" si="36"/>
        <v>0</v>
      </c>
      <c r="G62" s="42" t="str">
        <f t="shared" si="36"/>
        <v>0</v>
      </c>
      <c r="H62" s="42" t="str">
        <f t="shared" si="36"/>
        <v>0</v>
      </c>
    </row>
    <row r="63">
      <c r="A63" s="42" t="str">
        <f t="shared" ref="A63:A70" si="38">B33</f>
        <v/>
      </c>
      <c r="B63" s="42" t="str">
        <f t="shared" ref="B63:B70" si="39">H33*$B$44</f>
        <v>0</v>
      </c>
      <c r="C63" s="42" t="str">
        <f t="shared" ref="C63:H63" si="37">(B63/B$44)*C$44</f>
        <v>0</v>
      </c>
      <c r="D63" s="42" t="str">
        <f t="shared" si="37"/>
        <v>0</v>
      </c>
      <c r="E63" s="42" t="str">
        <f t="shared" si="37"/>
        <v>0</v>
      </c>
      <c r="F63" s="42" t="str">
        <f t="shared" si="37"/>
        <v>0</v>
      </c>
      <c r="G63" s="42" t="str">
        <f t="shared" si="37"/>
        <v>0</v>
      </c>
      <c r="H63" s="42" t="str">
        <f t="shared" si="37"/>
        <v>0</v>
      </c>
    </row>
    <row r="64">
      <c r="A64" s="42" t="str">
        <f t="shared" si="38"/>
        <v/>
      </c>
      <c r="B64" s="42" t="str">
        <f t="shared" si="39"/>
        <v>0</v>
      </c>
      <c r="C64" s="42" t="str">
        <f t="shared" ref="C64:H64" si="40">(B64/B$44)*C$44</f>
        <v>0</v>
      </c>
      <c r="D64" s="42" t="str">
        <f t="shared" si="40"/>
        <v>0</v>
      </c>
      <c r="E64" s="42" t="str">
        <f t="shared" si="40"/>
        <v>0</v>
      </c>
      <c r="F64" s="42" t="str">
        <f t="shared" si="40"/>
        <v>0</v>
      </c>
      <c r="G64" s="42" t="str">
        <f t="shared" si="40"/>
        <v>0</v>
      </c>
      <c r="H64" s="42" t="str">
        <f t="shared" si="40"/>
        <v>0</v>
      </c>
    </row>
    <row r="65">
      <c r="A65" s="42" t="str">
        <f t="shared" si="38"/>
        <v/>
      </c>
      <c r="B65" s="42" t="str">
        <f t="shared" si="39"/>
        <v>0</v>
      </c>
      <c r="C65" s="42" t="str">
        <f t="shared" ref="C65:H65" si="41">(B65/B$44)*C$44</f>
        <v>0</v>
      </c>
      <c r="D65" s="42" t="str">
        <f t="shared" si="41"/>
        <v>0</v>
      </c>
      <c r="E65" s="42" t="str">
        <f t="shared" si="41"/>
        <v>0</v>
      </c>
      <c r="F65" s="42" t="str">
        <f t="shared" si="41"/>
        <v>0</v>
      </c>
      <c r="G65" s="42" t="str">
        <f t="shared" si="41"/>
        <v>0</v>
      </c>
      <c r="H65" s="42" t="str">
        <f t="shared" si="41"/>
        <v>0</v>
      </c>
    </row>
    <row r="66">
      <c r="A66" s="42" t="str">
        <f t="shared" si="38"/>
        <v/>
      </c>
      <c r="B66" s="42" t="str">
        <f t="shared" si="39"/>
        <v>0</v>
      </c>
      <c r="C66" s="42" t="str">
        <f t="shared" ref="C66:H66" si="42">(B66/B$44)*C$44</f>
        <v>0</v>
      </c>
      <c r="D66" s="42" t="str">
        <f t="shared" si="42"/>
        <v>0</v>
      </c>
      <c r="E66" s="42" t="str">
        <f t="shared" si="42"/>
        <v>0</v>
      </c>
      <c r="F66" s="42" t="str">
        <f t="shared" si="42"/>
        <v>0</v>
      </c>
      <c r="G66" s="42" t="str">
        <f t="shared" si="42"/>
        <v>0</v>
      </c>
      <c r="H66" s="42" t="str">
        <f t="shared" si="42"/>
        <v>0</v>
      </c>
    </row>
    <row r="67">
      <c r="A67" s="42" t="str">
        <f t="shared" si="38"/>
        <v>Pomegranate</v>
      </c>
      <c r="B67" s="42" t="str">
        <f t="shared" si="39"/>
        <v>0</v>
      </c>
      <c r="C67" s="42" t="str">
        <f t="shared" ref="C67:H67" si="43">(B67/B$44)*C$44</f>
        <v>0</v>
      </c>
      <c r="D67" s="42" t="str">
        <f t="shared" si="43"/>
        <v>0</v>
      </c>
      <c r="E67" s="42" t="str">
        <f t="shared" si="43"/>
        <v>0</v>
      </c>
      <c r="F67" s="42" t="str">
        <f t="shared" si="43"/>
        <v>0</v>
      </c>
      <c r="G67" s="42" t="str">
        <f t="shared" si="43"/>
        <v>0</v>
      </c>
      <c r="H67" s="42" t="str">
        <f t="shared" si="43"/>
        <v>0</v>
      </c>
    </row>
    <row r="68">
      <c r="A68" s="42" t="str">
        <f t="shared" si="38"/>
        <v>Custard Apple</v>
      </c>
      <c r="B68" s="42" t="str">
        <f t="shared" si="39"/>
        <v>0</v>
      </c>
      <c r="C68" s="42" t="str">
        <f t="shared" ref="C68:H68" si="44">(B68/B$44)*C$44</f>
        <v>0</v>
      </c>
      <c r="D68" s="42" t="str">
        <f t="shared" si="44"/>
        <v>0</v>
      </c>
      <c r="E68" s="42" t="str">
        <f t="shared" si="44"/>
        <v>0</v>
      </c>
      <c r="F68" s="42" t="str">
        <f t="shared" si="44"/>
        <v>0</v>
      </c>
      <c r="G68" s="42" t="str">
        <f t="shared" si="44"/>
        <v>0</v>
      </c>
      <c r="H68" s="42" t="str">
        <f t="shared" si="44"/>
        <v>0</v>
      </c>
    </row>
    <row r="69">
      <c r="A69" s="42" t="str">
        <f t="shared" si="38"/>
        <v>Guava</v>
      </c>
      <c r="B69" s="42" t="str">
        <f t="shared" si="39"/>
        <v>0</v>
      </c>
      <c r="C69" s="42" t="str">
        <f t="shared" ref="C69:H69" si="45">(B69/B$44)*C$44</f>
        <v>0</v>
      </c>
      <c r="D69" s="42" t="str">
        <f t="shared" si="45"/>
        <v>0</v>
      </c>
      <c r="E69" s="42" t="str">
        <f t="shared" si="45"/>
        <v>0</v>
      </c>
      <c r="F69" s="42" t="str">
        <f t="shared" si="45"/>
        <v>0</v>
      </c>
      <c r="G69" s="42" t="str">
        <f t="shared" si="45"/>
        <v>0</v>
      </c>
      <c r="H69" s="42" t="str">
        <f t="shared" si="45"/>
        <v>0</v>
      </c>
    </row>
    <row r="70">
      <c r="A70" s="42" t="str">
        <f t="shared" si="38"/>
        <v>Citrus</v>
      </c>
      <c r="B70" s="42" t="str">
        <f t="shared" si="39"/>
        <v>0</v>
      </c>
      <c r="C70" s="42" t="str">
        <f t="shared" ref="C70:H70" si="46">(B70/B$44)*C$44</f>
        <v>0</v>
      </c>
      <c r="D70" s="42" t="str">
        <f t="shared" si="46"/>
        <v>0</v>
      </c>
      <c r="E70" s="42" t="str">
        <f t="shared" si="46"/>
        <v>0</v>
      </c>
      <c r="F70" s="42" t="str">
        <f t="shared" si="46"/>
        <v>0</v>
      </c>
      <c r="G70" s="42" t="str">
        <f t="shared" si="46"/>
        <v>0</v>
      </c>
      <c r="H70" s="42" t="str">
        <f t="shared" si="46"/>
        <v>0</v>
      </c>
    </row>
    <row r="71">
      <c r="A71" s="346" t="s">
        <v>598</v>
      </c>
      <c r="B71" s="5"/>
      <c r="C71" s="5"/>
      <c r="D71" s="5"/>
      <c r="E71" s="5"/>
      <c r="F71" s="5"/>
      <c r="G71" s="5"/>
      <c r="H71" s="6"/>
    </row>
    <row r="72">
      <c r="A72" s="347" t="s">
        <v>156</v>
      </c>
      <c r="B72" s="345">
        <v>0.05</v>
      </c>
      <c r="C72" s="345" t="str">
        <f t="shared" ref="C72:H72" si="47">B72+0.05</f>
        <v>10%</v>
      </c>
      <c r="D72" s="345" t="str">
        <f t="shared" si="47"/>
        <v>15%</v>
      </c>
      <c r="E72" s="345" t="str">
        <f t="shared" si="47"/>
        <v>20%</v>
      </c>
      <c r="F72" s="345" t="str">
        <f t="shared" si="47"/>
        <v>25%</v>
      </c>
      <c r="G72" s="345" t="str">
        <f t="shared" si="47"/>
        <v>30%</v>
      </c>
      <c r="H72" s="345" t="str">
        <f t="shared" si="47"/>
        <v>35%</v>
      </c>
    </row>
    <row r="73">
      <c r="A73" s="21"/>
      <c r="B73" s="323" t="s">
        <v>137</v>
      </c>
      <c r="C73" s="323" t="s">
        <v>138</v>
      </c>
      <c r="D73" s="323" t="s">
        <v>139</v>
      </c>
      <c r="E73" s="323" t="s">
        <v>140</v>
      </c>
      <c r="F73" s="323" t="s">
        <v>141</v>
      </c>
      <c r="G73" s="323" t="s">
        <v>142</v>
      </c>
      <c r="H73" s="323" t="s">
        <v>143</v>
      </c>
    </row>
    <row r="74">
      <c r="A74" s="42" t="str">
        <f t="shared" ref="A74:A98" si="49">A46</f>
        <v>Onion</v>
      </c>
      <c r="B74" s="42" t="str">
        <f t="shared" ref="B74:H74" si="48">H14*$B$72</f>
        <v>0</v>
      </c>
      <c r="C74" s="42" t="str">
        <f t="shared" si="48"/>
        <v>0</v>
      </c>
      <c r="D74" s="42" t="str">
        <f t="shared" si="48"/>
        <v>0</v>
      </c>
      <c r="E74" s="42" t="str">
        <f t="shared" si="48"/>
        <v>0</v>
      </c>
      <c r="F74" s="42" t="str">
        <f t="shared" si="48"/>
        <v>0</v>
      </c>
      <c r="G74" s="42" t="str">
        <f t="shared" si="48"/>
        <v>0</v>
      </c>
      <c r="H74" s="42" t="str">
        <f t="shared" si="48"/>
        <v>0</v>
      </c>
      <c r="I74" s="120"/>
      <c r="J74" s="120"/>
      <c r="K74" s="120"/>
      <c r="L74" s="120"/>
      <c r="M74" s="120"/>
      <c r="N74" s="120"/>
      <c r="O74" s="120"/>
      <c r="P74" s="120"/>
      <c r="Q74" s="120"/>
      <c r="R74" s="120"/>
      <c r="S74" s="120"/>
      <c r="T74" s="120"/>
      <c r="U74" s="120"/>
      <c r="V74" s="120"/>
      <c r="W74" s="120"/>
      <c r="X74" s="120"/>
      <c r="Y74" s="120"/>
      <c r="Z74" s="120"/>
    </row>
    <row r="75">
      <c r="A75" s="42" t="str">
        <f t="shared" si="49"/>
        <v>Tomato</v>
      </c>
      <c r="B75" s="42" t="str">
        <f>H15*$B$72*0</f>
        <v>0</v>
      </c>
      <c r="C75" s="42" t="str">
        <f t="shared" ref="C75:H75" si="50">(B75/B72)*C72</f>
        <v>0</v>
      </c>
      <c r="D75" s="42" t="str">
        <f t="shared" si="50"/>
        <v>0</v>
      </c>
      <c r="E75" s="42" t="str">
        <f t="shared" si="50"/>
        <v>0</v>
      </c>
      <c r="F75" s="42" t="str">
        <f t="shared" si="50"/>
        <v>0</v>
      </c>
      <c r="G75" s="42" t="str">
        <f t="shared" si="50"/>
        <v>0</v>
      </c>
      <c r="H75" s="42" t="str">
        <f t="shared" si="50"/>
        <v>0</v>
      </c>
    </row>
    <row r="76">
      <c r="A76" s="42" t="str">
        <f t="shared" si="49"/>
        <v>Okra</v>
      </c>
      <c r="B76" s="42" t="str">
        <f>H16*$B$72</f>
        <v>0</v>
      </c>
      <c r="C76" s="42" t="str">
        <f t="shared" ref="C76:H76" si="51">(B76/B72)*C72</f>
        <v>0</v>
      </c>
      <c r="D76" s="42" t="str">
        <f t="shared" si="51"/>
        <v>0</v>
      </c>
      <c r="E76" s="42" t="str">
        <f t="shared" si="51"/>
        <v>0</v>
      </c>
      <c r="F76" s="42" t="str">
        <f t="shared" si="51"/>
        <v>0</v>
      </c>
      <c r="G76" s="42" t="str">
        <f t="shared" si="51"/>
        <v>0</v>
      </c>
      <c r="H76" s="42" t="str">
        <f t="shared" si="51"/>
        <v>0</v>
      </c>
    </row>
    <row r="77">
      <c r="A77" s="42" t="str">
        <f t="shared" si="49"/>
        <v>Chilli</v>
      </c>
      <c r="B77" s="42" t="str">
        <f>H17*$B$72*0</f>
        <v>0</v>
      </c>
      <c r="C77" s="42" t="str">
        <f t="shared" ref="C77:H77" si="52">(B77/B$72)*C$72</f>
        <v>0</v>
      </c>
      <c r="D77" s="42" t="str">
        <f t="shared" si="52"/>
        <v>0</v>
      </c>
      <c r="E77" s="42" t="str">
        <f t="shared" si="52"/>
        <v>0</v>
      </c>
      <c r="F77" s="42" t="str">
        <f t="shared" si="52"/>
        <v>0</v>
      </c>
      <c r="G77" s="42" t="str">
        <f t="shared" si="52"/>
        <v>0</v>
      </c>
      <c r="H77" s="42" t="str">
        <f t="shared" si="52"/>
        <v>0</v>
      </c>
    </row>
    <row r="78">
      <c r="A78" s="42" t="str">
        <f t="shared" si="49"/>
        <v>Potato</v>
      </c>
      <c r="B78" s="42" t="str">
        <f>H18*$B$72</f>
        <v>0</v>
      </c>
      <c r="C78" s="42" t="str">
        <f t="shared" ref="C78:H78" si="53">(B78/B$72)*C$72</f>
        <v>0</v>
      </c>
      <c r="D78" s="42" t="str">
        <f t="shared" si="53"/>
        <v>0</v>
      </c>
      <c r="E78" s="42" t="str">
        <f t="shared" si="53"/>
        <v>0</v>
      </c>
      <c r="F78" s="42" t="str">
        <f t="shared" si="53"/>
        <v>0</v>
      </c>
      <c r="G78" s="42" t="str">
        <f t="shared" si="53"/>
        <v>0</v>
      </c>
      <c r="H78" s="42" t="str">
        <f t="shared" si="53"/>
        <v>0</v>
      </c>
    </row>
    <row r="79">
      <c r="A79" s="42" t="str">
        <f t="shared" si="49"/>
        <v/>
      </c>
      <c r="B79" s="42" t="str">
        <f t="shared" ref="B79:B80" si="55">H19*$B$72*0</f>
        <v>0</v>
      </c>
      <c r="C79" s="42" t="str">
        <f t="shared" ref="C79:H79" si="54">(B79/B$72)*C$72</f>
        <v>0</v>
      </c>
      <c r="D79" s="42" t="str">
        <f t="shared" si="54"/>
        <v>0</v>
      </c>
      <c r="E79" s="42" t="str">
        <f t="shared" si="54"/>
        <v>0</v>
      </c>
      <c r="F79" s="42" t="str">
        <f t="shared" si="54"/>
        <v>0</v>
      </c>
      <c r="G79" s="42" t="str">
        <f t="shared" si="54"/>
        <v>0</v>
      </c>
      <c r="H79" s="42" t="str">
        <f t="shared" si="54"/>
        <v>0</v>
      </c>
    </row>
    <row r="80">
      <c r="A80" s="42" t="str">
        <f t="shared" si="49"/>
        <v/>
      </c>
      <c r="B80" s="42" t="str">
        <f t="shared" si="55"/>
        <v>0</v>
      </c>
      <c r="C80" s="42" t="str">
        <f t="shared" ref="C80:H80" si="56">(B80/B$72)*C$72</f>
        <v>0</v>
      </c>
      <c r="D80" s="42" t="str">
        <f t="shared" si="56"/>
        <v>0</v>
      </c>
      <c r="E80" s="42" t="str">
        <f t="shared" si="56"/>
        <v>0</v>
      </c>
      <c r="F80" s="42" t="str">
        <f t="shared" si="56"/>
        <v>0</v>
      </c>
      <c r="G80" s="42" t="str">
        <f t="shared" si="56"/>
        <v>0</v>
      </c>
      <c r="H80" s="42" t="str">
        <f t="shared" si="56"/>
        <v>0</v>
      </c>
    </row>
    <row r="81">
      <c r="A81" s="42" t="str">
        <f t="shared" si="49"/>
        <v/>
      </c>
      <c r="B81" s="42" t="str">
        <f t="shared" ref="B81:B82" si="58">H21*$B$72</f>
        <v>0</v>
      </c>
      <c r="C81" s="42" t="str">
        <f t="shared" ref="C81:H81" si="57">(B81/B$72)*C$72</f>
        <v>0</v>
      </c>
      <c r="D81" s="42" t="str">
        <f t="shared" si="57"/>
        <v>0</v>
      </c>
      <c r="E81" s="42" t="str">
        <f t="shared" si="57"/>
        <v>0</v>
      </c>
      <c r="F81" s="42" t="str">
        <f t="shared" si="57"/>
        <v>0</v>
      </c>
      <c r="G81" s="42" t="str">
        <f t="shared" si="57"/>
        <v>0</v>
      </c>
      <c r="H81" s="42" t="str">
        <f t="shared" si="57"/>
        <v>0</v>
      </c>
    </row>
    <row r="82">
      <c r="A82" s="42" t="str">
        <f t="shared" si="49"/>
        <v/>
      </c>
      <c r="B82" s="42" t="str">
        <f t="shared" si="58"/>
        <v>0</v>
      </c>
      <c r="C82" s="42" t="str">
        <f t="shared" ref="C82:H82" si="59">(B82/B$72)*C$72</f>
        <v>0</v>
      </c>
      <c r="D82" s="42" t="str">
        <f t="shared" si="59"/>
        <v>0</v>
      </c>
      <c r="E82" s="42" t="str">
        <f t="shared" si="59"/>
        <v>0</v>
      </c>
      <c r="F82" s="42" t="str">
        <f t="shared" si="59"/>
        <v>0</v>
      </c>
      <c r="G82" s="42" t="str">
        <f t="shared" si="59"/>
        <v>0</v>
      </c>
      <c r="H82" s="42" t="str">
        <f t="shared" si="59"/>
        <v>0</v>
      </c>
    </row>
    <row r="83">
      <c r="A83" s="42" t="str">
        <f t="shared" si="49"/>
        <v>Onion</v>
      </c>
      <c r="B83" s="42" t="str">
        <f t="shared" ref="B83:B90" si="61">H24*$B$72</f>
        <v>0</v>
      </c>
      <c r="C83" s="42" t="str">
        <f t="shared" ref="C83:H83" si="60">(B83/B$72)*C$72</f>
        <v>0</v>
      </c>
      <c r="D83" s="42" t="str">
        <f t="shared" si="60"/>
        <v>0</v>
      </c>
      <c r="E83" s="42" t="str">
        <f t="shared" si="60"/>
        <v>0</v>
      </c>
      <c r="F83" s="42" t="str">
        <f t="shared" si="60"/>
        <v>0</v>
      </c>
      <c r="G83" s="42" t="str">
        <f t="shared" si="60"/>
        <v>0</v>
      </c>
      <c r="H83" s="42" t="str">
        <f t="shared" si="60"/>
        <v>0</v>
      </c>
    </row>
    <row r="84">
      <c r="A84" s="42" t="str">
        <f t="shared" si="49"/>
        <v>Tomato</v>
      </c>
      <c r="B84" s="42" t="str">
        <f t="shared" si="61"/>
        <v>0</v>
      </c>
      <c r="C84" s="42" t="str">
        <f t="shared" ref="C84:H84" si="62">(B84/B$72)*C$72</f>
        <v>0</v>
      </c>
      <c r="D84" s="42" t="str">
        <f t="shared" si="62"/>
        <v>0</v>
      </c>
      <c r="E84" s="42" t="str">
        <f t="shared" si="62"/>
        <v>0</v>
      </c>
      <c r="F84" s="42" t="str">
        <f t="shared" si="62"/>
        <v>0</v>
      </c>
      <c r="G84" s="42" t="str">
        <f t="shared" si="62"/>
        <v>0</v>
      </c>
      <c r="H84" s="42" t="str">
        <f t="shared" si="62"/>
        <v>0</v>
      </c>
    </row>
    <row r="85">
      <c r="A85" s="42" t="str">
        <f t="shared" si="49"/>
        <v>Okra</v>
      </c>
      <c r="B85" s="42" t="str">
        <f t="shared" si="61"/>
        <v>0</v>
      </c>
      <c r="C85" s="42" t="str">
        <f t="shared" ref="C85:H85" si="63">(B85/B$72)*C$72</f>
        <v>0</v>
      </c>
      <c r="D85" s="42" t="str">
        <f t="shared" si="63"/>
        <v>0</v>
      </c>
      <c r="E85" s="42" t="str">
        <f t="shared" si="63"/>
        <v>0</v>
      </c>
      <c r="F85" s="42" t="str">
        <f t="shared" si="63"/>
        <v>0</v>
      </c>
      <c r="G85" s="42" t="str">
        <f t="shared" si="63"/>
        <v>0</v>
      </c>
      <c r="H85" s="42" t="str">
        <f t="shared" si="63"/>
        <v>0</v>
      </c>
    </row>
    <row r="86">
      <c r="A86" s="42" t="str">
        <f t="shared" si="49"/>
        <v>Chilli</v>
      </c>
      <c r="B86" s="42" t="str">
        <f t="shared" si="61"/>
        <v>0</v>
      </c>
      <c r="C86" s="42" t="str">
        <f t="shared" ref="C86:H86" si="64">(B86/B$72)*C$72</f>
        <v>0</v>
      </c>
      <c r="D86" s="42" t="str">
        <f t="shared" si="64"/>
        <v>0</v>
      </c>
      <c r="E86" s="42" t="str">
        <f t="shared" si="64"/>
        <v>0</v>
      </c>
      <c r="F86" s="42" t="str">
        <f t="shared" si="64"/>
        <v>0</v>
      </c>
      <c r="G86" s="42" t="str">
        <f t="shared" si="64"/>
        <v>0</v>
      </c>
      <c r="H86" s="42" t="str">
        <f t="shared" si="64"/>
        <v>0</v>
      </c>
    </row>
    <row r="87">
      <c r="A87" s="42" t="str">
        <f t="shared" si="49"/>
        <v>Brinjal</v>
      </c>
      <c r="B87" s="42" t="str">
        <f t="shared" si="61"/>
        <v>0</v>
      </c>
      <c r="C87" s="42" t="str">
        <f t="shared" ref="C87:H87" si="65">(B87/B$72)*C$72</f>
        <v>0</v>
      </c>
      <c r="D87" s="42" t="str">
        <f t="shared" si="65"/>
        <v>0</v>
      </c>
      <c r="E87" s="42" t="str">
        <f t="shared" si="65"/>
        <v>0</v>
      </c>
      <c r="F87" s="42" t="str">
        <f t="shared" si="65"/>
        <v>0</v>
      </c>
      <c r="G87" s="42" t="str">
        <f t="shared" si="65"/>
        <v>0</v>
      </c>
      <c r="H87" s="42" t="str">
        <f t="shared" si="65"/>
        <v>0</v>
      </c>
    </row>
    <row r="88">
      <c r="A88" s="42" t="str">
        <f t="shared" si="49"/>
        <v/>
      </c>
      <c r="B88" s="42" t="str">
        <f t="shared" si="61"/>
        <v>0</v>
      </c>
      <c r="C88" s="42" t="str">
        <f t="shared" ref="C88:H88" si="66">(B88/B$72)*C$72</f>
        <v>0</v>
      </c>
      <c r="D88" s="42" t="str">
        <f t="shared" si="66"/>
        <v>0</v>
      </c>
      <c r="E88" s="42" t="str">
        <f t="shared" si="66"/>
        <v>0</v>
      </c>
      <c r="F88" s="42" t="str">
        <f t="shared" si="66"/>
        <v>0</v>
      </c>
      <c r="G88" s="42" t="str">
        <f t="shared" si="66"/>
        <v>0</v>
      </c>
      <c r="H88" s="42" t="str">
        <f t="shared" si="66"/>
        <v>0</v>
      </c>
    </row>
    <row r="89">
      <c r="A89" s="42" t="str">
        <f t="shared" si="49"/>
        <v/>
      </c>
      <c r="B89" s="42" t="str">
        <f t="shared" si="61"/>
        <v>0</v>
      </c>
      <c r="C89" s="42" t="str">
        <f t="shared" ref="C89:H89" si="67">(B89/B$72)*C$72</f>
        <v>0</v>
      </c>
      <c r="D89" s="42" t="str">
        <f t="shared" si="67"/>
        <v>0</v>
      </c>
      <c r="E89" s="42" t="str">
        <f t="shared" si="67"/>
        <v>0</v>
      </c>
      <c r="F89" s="42" t="str">
        <f t="shared" si="67"/>
        <v>0</v>
      </c>
      <c r="G89" s="42" t="str">
        <f t="shared" si="67"/>
        <v>0</v>
      </c>
      <c r="H89" s="42" t="str">
        <f t="shared" si="67"/>
        <v>0</v>
      </c>
    </row>
    <row r="90">
      <c r="A90" s="42" t="str">
        <f t="shared" si="49"/>
        <v/>
      </c>
      <c r="B90" s="42" t="str">
        <f t="shared" si="61"/>
        <v>0</v>
      </c>
      <c r="C90" s="42" t="str">
        <f t="shared" ref="C90:H90" si="68">(B90/B$72)*C$72</f>
        <v>0</v>
      </c>
      <c r="D90" s="42" t="str">
        <f t="shared" si="68"/>
        <v>0</v>
      </c>
      <c r="E90" s="42" t="str">
        <f t="shared" si="68"/>
        <v>0</v>
      </c>
      <c r="F90" s="42" t="str">
        <f t="shared" si="68"/>
        <v>0</v>
      </c>
      <c r="G90" s="42" t="str">
        <f t="shared" si="68"/>
        <v>0</v>
      </c>
      <c r="H90" s="42" t="str">
        <f t="shared" si="68"/>
        <v>0</v>
      </c>
    </row>
    <row r="91">
      <c r="A91" s="42" t="str">
        <f t="shared" si="49"/>
        <v/>
      </c>
      <c r="B91" s="42" t="str">
        <f t="shared" ref="B91:B98" si="70">H33*$B$72</f>
        <v>0</v>
      </c>
      <c r="C91" s="42" t="str">
        <f t="shared" ref="C91:H91" si="69">(B91/B$72)*C$72</f>
        <v>0</v>
      </c>
      <c r="D91" s="42" t="str">
        <f t="shared" si="69"/>
        <v>0</v>
      </c>
      <c r="E91" s="42" t="str">
        <f t="shared" si="69"/>
        <v>0</v>
      </c>
      <c r="F91" s="42" t="str">
        <f t="shared" si="69"/>
        <v>0</v>
      </c>
      <c r="G91" s="42" t="str">
        <f t="shared" si="69"/>
        <v>0</v>
      </c>
      <c r="H91" s="42" t="str">
        <f t="shared" si="69"/>
        <v>0</v>
      </c>
    </row>
    <row r="92">
      <c r="A92" s="42" t="str">
        <f t="shared" si="49"/>
        <v/>
      </c>
      <c r="B92" s="42" t="str">
        <f t="shared" si="70"/>
        <v>0</v>
      </c>
      <c r="C92" s="42" t="str">
        <f t="shared" ref="C92:G92" si="71">(B92/B$72)*C$72</f>
        <v>0</v>
      </c>
      <c r="D92" s="42" t="str">
        <f t="shared" si="71"/>
        <v>0</v>
      </c>
      <c r="E92" s="42" t="str">
        <f t="shared" si="71"/>
        <v>0</v>
      </c>
      <c r="F92" s="42" t="str">
        <f t="shared" si="71"/>
        <v>0</v>
      </c>
      <c r="G92" s="42" t="str">
        <f t="shared" si="71"/>
        <v>0</v>
      </c>
      <c r="H92" s="42"/>
    </row>
    <row r="93">
      <c r="A93" s="42" t="str">
        <f t="shared" si="49"/>
        <v/>
      </c>
      <c r="B93" s="42" t="str">
        <f t="shared" si="70"/>
        <v>0</v>
      </c>
      <c r="C93" s="42" t="str">
        <f t="shared" ref="C93:G93" si="72">(B93/B$72)*C$72</f>
        <v>0</v>
      </c>
      <c r="D93" s="42" t="str">
        <f t="shared" si="72"/>
        <v>0</v>
      </c>
      <c r="E93" s="42" t="str">
        <f t="shared" si="72"/>
        <v>0</v>
      </c>
      <c r="F93" s="42" t="str">
        <f t="shared" si="72"/>
        <v>0</v>
      </c>
      <c r="G93" s="42" t="str">
        <f t="shared" si="72"/>
        <v>0</v>
      </c>
      <c r="H93" s="42"/>
    </row>
    <row r="94">
      <c r="A94" s="42" t="str">
        <f t="shared" si="49"/>
        <v/>
      </c>
      <c r="B94" s="42" t="str">
        <f t="shared" si="70"/>
        <v>0</v>
      </c>
      <c r="C94" s="42" t="str">
        <f t="shared" ref="C94:G94" si="73">(B94/B$72)*C$72</f>
        <v>0</v>
      </c>
      <c r="D94" s="42" t="str">
        <f t="shared" si="73"/>
        <v>0</v>
      </c>
      <c r="E94" s="42" t="str">
        <f t="shared" si="73"/>
        <v>0</v>
      </c>
      <c r="F94" s="42" t="str">
        <f t="shared" si="73"/>
        <v>0</v>
      </c>
      <c r="G94" s="42" t="str">
        <f t="shared" si="73"/>
        <v>0</v>
      </c>
      <c r="H94" s="42"/>
    </row>
    <row r="95">
      <c r="A95" s="42" t="str">
        <f t="shared" si="49"/>
        <v>Pomegranate</v>
      </c>
      <c r="B95" s="42" t="str">
        <f t="shared" si="70"/>
        <v>0</v>
      </c>
      <c r="C95" s="42" t="str">
        <f t="shared" ref="C95:H95" si="74">(B95/B$72)*C$72</f>
        <v>0</v>
      </c>
      <c r="D95" s="42" t="str">
        <f t="shared" si="74"/>
        <v>0</v>
      </c>
      <c r="E95" s="42" t="str">
        <f t="shared" si="74"/>
        <v>0</v>
      </c>
      <c r="F95" s="42" t="str">
        <f t="shared" si="74"/>
        <v>0</v>
      </c>
      <c r="G95" s="42" t="str">
        <f t="shared" si="74"/>
        <v>0</v>
      </c>
      <c r="H95" s="42" t="str">
        <f t="shared" si="74"/>
        <v>0</v>
      </c>
    </row>
    <row r="96">
      <c r="A96" s="42" t="str">
        <f t="shared" si="49"/>
        <v>Custard Apple</v>
      </c>
      <c r="B96" s="42" t="str">
        <f t="shared" si="70"/>
        <v>0</v>
      </c>
      <c r="C96" s="42" t="str">
        <f t="shared" ref="C96:H96" si="75">(B96/B$72)*C$72</f>
        <v>0</v>
      </c>
      <c r="D96" s="42" t="str">
        <f t="shared" si="75"/>
        <v>0</v>
      </c>
      <c r="E96" s="42" t="str">
        <f t="shared" si="75"/>
        <v>0</v>
      </c>
      <c r="F96" s="42" t="str">
        <f t="shared" si="75"/>
        <v>0</v>
      </c>
      <c r="G96" s="42" t="str">
        <f t="shared" si="75"/>
        <v>0</v>
      </c>
      <c r="H96" s="42" t="str">
        <f t="shared" si="75"/>
        <v>0</v>
      </c>
    </row>
    <row r="97">
      <c r="A97" s="42" t="str">
        <f t="shared" si="49"/>
        <v>Guava</v>
      </c>
      <c r="B97" s="42" t="str">
        <f t="shared" si="70"/>
        <v>0</v>
      </c>
      <c r="C97" s="42" t="str">
        <f t="shared" ref="C97:H97" si="76">(B97/B$72)*C$72</f>
        <v>0</v>
      </c>
      <c r="D97" s="42" t="str">
        <f t="shared" si="76"/>
        <v>0</v>
      </c>
      <c r="E97" s="42" t="str">
        <f t="shared" si="76"/>
        <v>0</v>
      </c>
      <c r="F97" s="42" t="str">
        <f t="shared" si="76"/>
        <v>0</v>
      </c>
      <c r="G97" s="42" t="str">
        <f t="shared" si="76"/>
        <v>0</v>
      </c>
      <c r="H97" s="42" t="str">
        <f t="shared" si="76"/>
        <v>0</v>
      </c>
    </row>
    <row r="98">
      <c r="A98" s="42" t="str">
        <f t="shared" si="49"/>
        <v>Citrus</v>
      </c>
      <c r="B98" s="42" t="str">
        <f t="shared" si="70"/>
        <v>0</v>
      </c>
      <c r="C98" s="42" t="str">
        <f t="shared" ref="C98:H98" si="77">(B98/B$72)*C$72</f>
        <v>0</v>
      </c>
      <c r="D98" s="42" t="str">
        <f t="shared" si="77"/>
        <v>0</v>
      </c>
      <c r="E98" s="42" t="str">
        <f t="shared" si="77"/>
        <v>0</v>
      </c>
      <c r="F98" s="42" t="str">
        <f t="shared" si="77"/>
        <v>0</v>
      </c>
      <c r="G98" s="42" t="str">
        <f t="shared" si="77"/>
        <v>0</v>
      </c>
      <c r="H98" s="42" t="str">
        <f t="shared" si="77"/>
        <v>0</v>
      </c>
      <c r="I98" s="120"/>
    </row>
    <row r="99">
      <c r="A99" s="346" t="s">
        <v>599</v>
      </c>
      <c r="B99" s="5"/>
      <c r="C99" s="5"/>
      <c r="D99" s="5"/>
      <c r="E99" s="5"/>
      <c r="F99" s="5"/>
      <c r="G99" s="5"/>
      <c r="H99" s="6"/>
    </row>
    <row r="100">
      <c r="A100" s="349" t="s">
        <v>156</v>
      </c>
      <c r="B100" s="350">
        <v>0.65</v>
      </c>
      <c r="C100" s="351" t="str">
        <f t="shared" ref="C100:H100" si="78">B100+0.05</f>
        <v>70.0%</v>
      </c>
      <c r="D100" s="351" t="str">
        <f t="shared" si="78"/>
        <v>75.0%</v>
      </c>
      <c r="E100" s="351" t="str">
        <f t="shared" si="78"/>
        <v>80.0%</v>
      </c>
      <c r="F100" s="351" t="str">
        <f t="shared" si="78"/>
        <v>85.0%</v>
      </c>
      <c r="G100" s="351" t="str">
        <f t="shared" si="78"/>
        <v>90.0%</v>
      </c>
      <c r="H100" s="351" t="str">
        <f t="shared" si="78"/>
        <v>95.0%</v>
      </c>
    </row>
    <row r="101">
      <c r="A101" s="21"/>
      <c r="B101" s="323" t="s">
        <v>137</v>
      </c>
      <c r="C101" s="323" t="s">
        <v>138</v>
      </c>
      <c r="D101" s="323" t="s">
        <v>139</v>
      </c>
      <c r="E101" s="323" t="s">
        <v>140</v>
      </c>
      <c r="F101" s="323" t="s">
        <v>141</v>
      </c>
      <c r="G101" s="323" t="s">
        <v>142</v>
      </c>
      <c r="H101" s="323" t="s">
        <v>143</v>
      </c>
    </row>
    <row r="102">
      <c r="A102" s="42" t="str">
        <f t="shared" ref="A102:A126" si="80">A74</f>
        <v>Onion</v>
      </c>
      <c r="B102" s="42" t="str">
        <f t="shared" ref="B102:B110" si="81">D14*$B$100</f>
        <v>0</v>
      </c>
      <c r="C102" s="42" t="str">
        <f t="shared" ref="C102:H102" si="79">(B102/B$100)*C$100</f>
        <v>0</v>
      </c>
      <c r="D102" s="42" t="str">
        <f t="shared" si="79"/>
        <v>0</v>
      </c>
      <c r="E102" s="42" t="str">
        <f t="shared" si="79"/>
        <v>0</v>
      </c>
      <c r="F102" s="42" t="str">
        <f t="shared" si="79"/>
        <v>0</v>
      </c>
      <c r="G102" s="42" t="str">
        <f t="shared" si="79"/>
        <v>0</v>
      </c>
      <c r="H102" s="42" t="str">
        <f t="shared" si="79"/>
        <v>0</v>
      </c>
      <c r="I102" s="120"/>
      <c r="J102" s="120"/>
      <c r="K102" s="120"/>
      <c r="L102" s="120"/>
      <c r="M102" s="120"/>
      <c r="N102" s="120"/>
      <c r="O102" s="120"/>
      <c r="P102" s="120"/>
      <c r="Q102" s="120"/>
      <c r="R102" s="120"/>
      <c r="S102" s="120"/>
      <c r="T102" s="120"/>
      <c r="U102" s="120"/>
      <c r="V102" s="120"/>
      <c r="W102" s="120"/>
      <c r="X102" s="120"/>
      <c r="Y102" s="120"/>
      <c r="Z102" s="120"/>
    </row>
    <row r="103">
      <c r="A103" s="42" t="str">
        <f t="shared" si="80"/>
        <v>Tomato</v>
      </c>
      <c r="B103" s="42" t="str">
        <f t="shared" si="81"/>
        <v>0</v>
      </c>
      <c r="C103" s="42" t="str">
        <f t="shared" ref="C103:C126" si="83">(B103/B$100)*C$100</f>
        <v>0</v>
      </c>
      <c r="D103" s="42" t="str">
        <f t="shared" ref="D103:H103" si="82">(C103/C100)*D100</f>
        <v>0</v>
      </c>
      <c r="E103" s="42" t="str">
        <f t="shared" si="82"/>
        <v>0</v>
      </c>
      <c r="F103" s="42" t="str">
        <f t="shared" si="82"/>
        <v>0</v>
      </c>
      <c r="G103" s="42" t="str">
        <f t="shared" si="82"/>
        <v>0</v>
      </c>
      <c r="H103" s="42" t="str">
        <f t="shared" si="82"/>
        <v>0</v>
      </c>
    </row>
    <row r="104">
      <c r="A104" s="42" t="str">
        <f t="shared" si="80"/>
        <v>Okra</v>
      </c>
      <c r="B104" s="42" t="str">
        <f t="shared" si="81"/>
        <v>0</v>
      </c>
      <c r="C104" s="42" t="str">
        <f t="shared" si="83"/>
        <v>0</v>
      </c>
      <c r="D104" s="42" t="str">
        <f t="shared" ref="D104:H104" si="84">(C104/C$100)*D$100</f>
        <v>0</v>
      </c>
      <c r="E104" s="42" t="str">
        <f t="shared" si="84"/>
        <v>0</v>
      </c>
      <c r="F104" s="42" t="str">
        <f t="shared" si="84"/>
        <v>0</v>
      </c>
      <c r="G104" s="42" t="str">
        <f t="shared" si="84"/>
        <v>0</v>
      </c>
      <c r="H104" s="42" t="str">
        <f t="shared" si="84"/>
        <v>0</v>
      </c>
    </row>
    <row r="105">
      <c r="A105" s="42" t="str">
        <f t="shared" si="80"/>
        <v>Chilli</v>
      </c>
      <c r="B105" s="42" t="str">
        <f t="shared" si="81"/>
        <v>0</v>
      </c>
      <c r="C105" s="42" t="str">
        <f t="shared" si="83"/>
        <v>0</v>
      </c>
      <c r="D105" s="42" t="str">
        <f t="shared" ref="D105:H105" si="85">(C105/C$100)*D$100</f>
        <v>0</v>
      </c>
      <c r="E105" s="42" t="str">
        <f t="shared" si="85"/>
        <v>0</v>
      </c>
      <c r="F105" s="42" t="str">
        <f t="shared" si="85"/>
        <v>0</v>
      </c>
      <c r="G105" s="42" t="str">
        <f t="shared" si="85"/>
        <v>0</v>
      </c>
      <c r="H105" s="42" t="str">
        <f t="shared" si="85"/>
        <v>0</v>
      </c>
    </row>
    <row r="106">
      <c r="A106" s="42" t="str">
        <f t="shared" si="80"/>
        <v>Potato</v>
      </c>
      <c r="B106" s="42" t="str">
        <f t="shared" si="81"/>
        <v>0</v>
      </c>
      <c r="C106" s="42" t="str">
        <f t="shared" si="83"/>
        <v>0</v>
      </c>
      <c r="D106" s="42" t="str">
        <f t="shared" ref="D106:H106" si="86">(C106/C$100)*D$100</f>
        <v>0</v>
      </c>
      <c r="E106" s="42" t="str">
        <f t="shared" si="86"/>
        <v>0</v>
      </c>
      <c r="F106" s="42" t="str">
        <f t="shared" si="86"/>
        <v>0</v>
      </c>
      <c r="G106" s="42" t="str">
        <f t="shared" si="86"/>
        <v>0</v>
      </c>
      <c r="H106" s="42" t="str">
        <f t="shared" si="86"/>
        <v>0</v>
      </c>
    </row>
    <row r="107">
      <c r="A107" s="42" t="str">
        <f t="shared" si="80"/>
        <v/>
      </c>
      <c r="B107" s="42" t="str">
        <f t="shared" si="81"/>
        <v>0</v>
      </c>
      <c r="C107" s="42" t="str">
        <f t="shared" si="83"/>
        <v>0</v>
      </c>
      <c r="D107" s="42" t="str">
        <f t="shared" ref="D107:H107" si="87">(C107/C$100)*D$100</f>
        <v>0</v>
      </c>
      <c r="E107" s="42" t="str">
        <f t="shared" si="87"/>
        <v>0</v>
      </c>
      <c r="F107" s="42" t="str">
        <f t="shared" si="87"/>
        <v>0</v>
      </c>
      <c r="G107" s="42" t="str">
        <f t="shared" si="87"/>
        <v>0</v>
      </c>
      <c r="H107" s="42" t="str">
        <f t="shared" si="87"/>
        <v>0</v>
      </c>
    </row>
    <row r="108">
      <c r="A108" s="42" t="str">
        <f t="shared" si="80"/>
        <v/>
      </c>
      <c r="B108" s="42" t="str">
        <f t="shared" si="81"/>
        <v>0</v>
      </c>
      <c r="C108" s="42" t="str">
        <f t="shared" si="83"/>
        <v>0</v>
      </c>
      <c r="D108" s="42" t="str">
        <f t="shared" ref="D108:H108" si="88">(C108/C$100)*D$100</f>
        <v>0</v>
      </c>
      <c r="E108" s="42" t="str">
        <f t="shared" si="88"/>
        <v>0</v>
      </c>
      <c r="F108" s="42" t="str">
        <f t="shared" si="88"/>
        <v>0</v>
      </c>
      <c r="G108" s="42" t="str">
        <f t="shared" si="88"/>
        <v>0</v>
      </c>
      <c r="H108" s="42" t="str">
        <f t="shared" si="88"/>
        <v>0</v>
      </c>
    </row>
    <row r="109">
      <c r="A109" s="42" t="str">
        <f t="shared" si="80"/>
        <v/>
      </c>
      <c r="B109" s="42" t="str">
        <f t="shared" si="81"/>
        <v>0</v>
      </c>
      <c r="C109" s="42" t="str">
        <f t="shared" si="83"/>
        <v>0</v>
      </c>
      <c r="D109" s="42" t="str">
        <f t="shared" ref="D109:H109" si="89">(C109/C$100)*D$100</f>
        <v>0</v>
      </c>
      <c r="E109" s="42" t="str">
        <f t="shared" si="89"/>
        <v>0</v>
      </c>
      <c r="F109" s="42" t="str">
        <f t="shared" si="89"/>
        <v>0</v>
      </c>
      <c r="G109" s="42" t="str">
        <f t="shared" si="89"/>
        <v>0</v>
      </c>
      <c r="H109" s="42" t="str">
        <f t="shared" si="89"/>
        <v>0</v>
      </c>
    </row>
    <row r="110">
      <c r="A110" s="42" t="str">
        <f t="shared" si="80"/>
        <v/>
      </c>
      <c r="B110" s="42" t="str">
        <f t="shared" si="81"/>
        <v>0</v>
      </c>
      <c r="C110" s="42" t="str">
        <f t="shared" si="83"/>
        <v>0</v>
      </c>
      <c r="D110" s="42" t="str">
        <f t="shared" ref="D110:H110" si="90">(C110/C$100)*D$100</f>
        <v>0</v>
      </c>
      <c r="E110" s="42" t="str">
        <f t="shared" si="90"/>
        <v>0</v>
      </c>
      <c r="F110" s="42" t="str">
        <f t="shared" si="90"/>
        <v>0</v>
      </c>
      <c r="G110" s="42" t="str">
        <f t="shared" si="90"/>
        <v>0</v>
      </c>
      <c r="H110" s="42" t="str">
        <f t="shared" si="90"/>
        <v>0</v>
      </c>
    </row>
    <row r="111">
      <c r="A111" s="42" t="str">
        <f t="shared" si="80"/>
        <v>Onion</v>
      </c>
      <c r="B111" s="42" t="str">
        <f t="shared" ref="B111:B118" si="92">D24*$B$100</f>
        <v>0</v>
      </c>
      <c r="C111" s="42" t="str">
        <f t="shared" si="83"/>
        <v>0</v>
      </c>
      <c r="D111" s="42" t="str">
        <f t="shared" ref="D111:H111" si="91">(C111/C$100)*D$100</f>
        <v>0</v>
      </c>
      <c r="E111" s="42" t="str">
        <f t="shared" si="91"/>
        <v>0</v>
      </c>
      <c r="F111" s="42" t="str">
        <f t="shared" si="91"/>
        <v>0</v>
      </c>
      <c r="G111" s="42" t="str">
        <f t="shared" si="91"/>
        <v>0</v>
      </c>
      <c r="H111" s="42" t="str">
        <f t="shared" si="91"/>
        <v>0</v>
      </c>
    </row>
    <row r="112">
      <c r="A112" s="42" t="str">
        <f t="shared" si="80"/>
        <v>Tomato</v>
      </c>
      <c r="B112" s="42" t="str">
        <f t="shared" si="92"/>
        <v>0</v>
      </c>
      <c r="C112" s="42" t="str">
        <f t="shared" si="83"/>
        <v>0</v>
      </c>
      <c r="D112" s="42" t="str">
        <f t="shared" ref="D112:H112" si="93">(C112/C$100)*D$100</f>
        <v>0</v>
      </c>
      <c r="E112" s="42" t="str">
        <f t="shared" si="93"/>
        <v>0</v>
      </c>
      <c r="F112" s="42" t="str">
        <f t="shared" si="93"/>
        <v>0</v>
      </c>
      <c r="G112" s="42" t="str">
        <f t="shared" si="93"/>
        <v>0</v>
      </c>
      <c r="H112" s="42" t="str">
        <f t="shared" si="93"/>
        <v>0</v>
      </c>
    </row>
    <row r="113">
      <c r="A113" s="42" t="str">
        <f t="shared" si="80"/>
        <v>Okra</v>
      </c>
      <c r="B113" s="42" t="str">
        <f t="shared" si="92"/>
        <v>0</v>
      </c>
      <c r="C113" s="42" t="str">
        <f t="shared" si="83"/>
        <v>0</v>
      </c>
      <c r="D113" s="42" t="str">
        <f t="shared" ref="D113:H113" si="94">(C113/C$100)*D$100</f>
        <v>0</v>
      </c>
      <c r="E113" s="42" t="str">
        <f t="shared" si="94"/>
        <v>0</v>
      </c>
      <c r="F113" s="42" t="str">
        <f t="shared" si="94"/>
        <v>0</v>
      </c>
      <c r="G113" s="42" t="str">
        <f t="shared" si="94"/>
        <v>0</v>
      </c>
      <c r="H113" s="42" t="str">
        <f t="shared" si="94"/>
        <v>0</v>
      </c>
    </row>
    <row r="114">
      <c r="A114" s="42" t="str">
        <f t="shared" si="80"/>
        <v>Chilli</v>
      </c>
      <c r="B114" s="42" t="str">
        <f t="shared" si="92"/>
        <v>0</v>
      </c>
      <c r="C114" s="42" t="str">
        <f t="shared" si="83"/>
        <v>0</v>
      </c>
      <c r="D114" s="42" t="str">
        <f t="shared" ref="D114:H114" si="95">(C114/C$100)*D$100</f>
        <v>0</v>
      </c>
      <c r="E114" s="42" t="str">
        <f t="shared" si="95"/>
        <v>0</v>
      </c>
      <c r="F114" s="42" t="str">
        <f t="shared" si="95"/>
        <v>0</v>
      </c>
      <c r="G114" s="42" t="str">
        <f t="shared" si="95"/>
        <v>0</v>
      </c>
      <c r="H114" s="42" t="str">
        <f t="shared" si="95"/>
        <v>0</v>
      </c>
    </row>
    <row r="115">
      <c r="A115" s="42" t="str">
        <f t="shared" si="80"/>
        <v>Brinjal</v>
      </c>
      <c r="B115" s="42" t="str">
        <f t="shared" si="92"/>
        <v>0</v>
      </c>
      <c r="C115" s="42" t="str">
        <f t="shared" si="83"/>
        <v>0</v>
      </c>
      <c r="D115" s="42" t="str">
        <f t="shared" ref="D115:H115" si="96">(C115/C$100)*D$100</f>
        <v>0</v>
      </c>
      <c r="E115" s="42" t="str">
        <f t="shared" si="96"/>
        <v>0</v>
      </c>
      <c r="F115" s="42" t="str">
        <f t="shared" si="96"/>
        <v>0</v>
      </c>
      <c r="G115" s="42" t="str">
        <f t="shared" si="96"/>
        <v>0</v>
      </c>
      <c r="H115" s="42" t="str">
        <f t="shared" si="96"/>
        <v>0</v>
      </c>
    </row>
    <row r="116">
      <c r="A116" s="42" t="str">
        <f t="shared" si="80"/>
        <v/>
      </c>
      <c r="B116" s="42" t="str">
        <f t="shared" si="92"/>
        <v>0</v>
      </c>
      <c r="C116" s="42" t="str">
        <f t="shared" si="83"/>
        <v>0</v>
      </c>
      <c r="D116" s="42" t="str">
        <f t="shared" ref="D116:H116" si="97">(C116/C$100)*D$100</f>
        <v>0</v>
      </c>
      <c r="E116" s="42" t="str">
        <f t="shared" si="97"/>
        <v>0</v>
      </c>
      <c r="F116" s="42" t="str">
        <f t="shared" si="97"/>
        <v>0</v>
      </c>
      <c r="G116" s="42" t="str">
        <f t="shared" si="97"/>
        <v>0</v>
      </c>
      <c r="H116" s="42" t="str">
        <f t="shared" si="97"/>
        <v>0</v>
      </c>
    </row>
    <row r="117">
      <c r="A117" s="42" t="str">
        <f t="shared" si="80"/>
        <v/>
      </c>
      <c r="B117" s="42" t="str">
        <f t="shared" si="92"/>
        <v>0</v>
      </c>
      <c r="C117" s="42" t="str">
        <f t="shared" si="83"/>
        <v>0</v>
      </c>
      <c r="D117" s="42" t="str">
        <f t="shared" ref="D117:H117" si="98">(C117/C$100)*D$100</f>
        <v>0</v>
      </c>
      <c r="E117" s="42" t="str">
        <f t="shared" si="98"/>
        <v>0</v>
      </c>
      <c r="F117" s="42" t="str">
        <f t="shared" si="98"/>
        <v>0</v>
      </c>
      <c r="G117" s="42" t="str">
        <f t="shared" si="98"/>
        <v>0</v>
      </c>
      <c r="H117" s="42" t="str">
        <f t="shared" si="98"/>
        <v>0</v>
      </c>
    </row>
    <row r="118">
      <c r="A118" s="42" t="str">
        <f t="shared" si="80"/>
        <v/>
      </c>
      <c r="B118" s="42" t="str">
        <f t="shared" si="92"/>
        <v>0</v>
      </c>
      <c r="C118" s="42" t="str">
        <f t="shared" si="83"/>
        <v>0</v>
      </c>
      <c r="D118" s="42" t="str">
        <f t="shared" ref="D118:H118" si="99">(C118/C$100)*D$100</f>
        <v>0</v>
      </c>
      <c r="E118" s="42" t="str">
        <f t="shared" si="99"/>
        <v>0</v>
      </c>
      <c r="F118" s="42" t="str">
        <f t="shared" si="99"/>
        <v>0</v>
      </c>
      <c r="G118" s="42" t="str">
        <f t="shared" si="99"/>
        <v>0</v>
      </c>
      <c r="H118" s="42" t="str">
        <f t="shared" si="99"/>
        <v>0</v>
      </c>
    </row>
    <row r="119">
      <c r="A119" s="42" t="str">
        <f t="shared" si="80"/>
        <v/>
      </c>
      <c r="B119" s="42" t="str">
        <f t="shared" ref="B119:B126" si="101">D33*$B$100</f>
        <v>0</v>
      </c>
      <c r="C119" s="42" t="str">
        <f t="shared" si="83"/>
        <v>0</v>
      </c>
      <c r="D119" s="42" t="str">
        <f t="shared" ref="D119:H119" si="100">(C119/C$100)*D$100</f>
        <v>0</v>
      </c>
      <c r="E119" s="42" t="str">
        <f t="shared" si="100"/>
        <v>0</v>
      </c>
      <c r="F119" s="42" t="str">
        <f t="shared" si="100"/>
        <v>0</v>
      </c>
      <c r="G119" s="42" t="str">
        <f t="shared" si="100"/>
        <v>0</v>
      </c>
      <c r="H119" s="42" t="str">
        <f t="shared" si="100"/>
        <v>0</v>
      </c>
    </row>
    <row r="120">
      <c r="A120" s="42" t="str">
        <f t="shared" si="80"/>
        <v/>
      </c>
      <c r="B120" s="42" t="str">
        <f t="shared" si="101"/>
        <v>0</v>
      </c>
      <c r="C120" s="42" t="str">
        <f t="shared" si="83"/>
        <v>0</v>
      </c>
      <c r="D120" s="42" t="str">
        <f t="shared" ref="D120:H120" si="102">(C120/C$100)*D$100</f>
        <v>0</v>
      </c>
      <c r="E120" s="42" t="str">
        <f t="shared" si="102"/>
        <v>0</v>
      </c>
      <c r="F120" s="42" t="str">
        <f t="shared" si="102"/>
        <v>0</v>
      </c>
      <c r="G120" s="42" t="str">
        <f t="shared" si="102"/>
        <v>0</v>
      </c>
      <c r="H120" s="42" t="str">
        <f t="shared" si="102"/>
        <v>0</v>
      </c>
    </row>
    <row r="121">
      <c r="A121" s="42" t="str">
        <f t="shared" si="80"/>
        <v/>
      </c>
      <c r="B121" s="42" t="str">
        <f t="shared" si="101"/>
        <v>0</v>
      </c>
      <c r="C121" s="42" t="str">
        <f t="shared" si="83"/>
        <v>0</v>
      </c>
      <c r="D121" s="42" t="str">
        <f t="shared" ref="D121:H121" si="103">(C121/C$100)*D$100</f>
        <v>0</v>
      </c>
      <c r="E121" s="42" t="str">
        <f t="shared" si="103"/>
        <v>0</v>
      </c>
      <c r="F121" s="42" t="str">
        <f t="shared" si="103"/>
        <v>0</v>
      </c>
      <c r="G121" s="42" t="str">
        <f t="shared" si="103"/>
        <v>0</v>
      </c>
      <c r="H121" s="42" t="str">
        <f t="shared" si="103"/>
        <v>0</v>
      </c>
    </row>
    <row r="122">
      <c r="A122" s="42" t="str">
        <f t="shared" si="80"/>
        <v/>
      </c>
      <c r="B122" s="42" t="str">
        <f t="shared" si="101"/>
        <v>0</v>
      </c>
      <c r="C122" s="42" t="str">
        <f t="shared" si="83"/>
        <v>0</v>
      </c>
      <c r="D122" s="42" t="str">
        <f t="shared" ref="D122:H122" si="104">(C122/C$100)*D$100</f>
        <v>0</v>
      </c>
      <c r="E122" s="42" t="str">
        <f t="shared" si="104"/>
        <v>0</v>
      </c>
      <c r="F122" s="42" t="str">
        <f t="shared" si="104"/>
        <v>0</v>
      </c>
      <c r="G122" s="42" t="str">
        <f t="shared" si="104"/>
        <v>0</v>
      </c>
      <c r="H122" s="42" t="str">
        <f t="shared" si="104"/>
        <v>0</v>
      </c>
    </row>
    <row r="123">
      <c r="A123" s="42" t="str">
        <f t="shared" si="80"/>
        <v>Pomegranate</v>
      </c>
      <c r="B123" s="42" t="str">
        <f t="shared" si="101"/>
        <v>0</v>
      </c>
      <c r="C123" s="42" t="str">
        <f t="shared" si="83"/>
        <v>0</v>
      </c>
      <c r="D123" s="42" t="str">
        <f t="shared" ref="D123:H123" si="105">(C123/C$100)*D$100</f>
        <v>0</v>
      </c>
      <c r="E123" s="42" t="str">
        <f t="shared" si="105"/>
        <v>0</v>
      </c>
      <c r="F123" s="42" t="str">
        <f t="shared" si="105"/>
        <v>0</v>
      </c>
      <c r="G123" s="42" t="str">
        <f t="shared" si="105"/>
        <v>0</v>
      </c>
      <c r="H123" s="42" t="str">
        <f t="shared" si="105"/>
        <v>0</v>
      </c>
    </row>
    <row r="124">
      <c r="A124" s="42" t="str">
        <f t="shared" si="80"/>
        <v>Custard Apple</v>
      </c>
      <c r="B124" s="42" t="str">
        <f t="shared" si="101"/>
        <v>0</v>
      </c>
      <c r="C124" s="42" t="str">
        <f t="shared" si="83"/>
        <v>0</v>
      </c>
      <c r="D124" s="42" t="str">
        <f t="shared" ref="D124:H124" si="106">(C124/C$100)*D$100</f>
        <v>0</v>
      </c>
      <c r="E124" s="42" t="str">
        <f t="shared" si="106"/>
        <v>0</v>
      </c>
      <c r="F124" s="42" t="str">
        <f t="shared" si="106"/>
        <v>0</v>
      </c>
      <c r="G124" s="42" t="str">
        <f t="shared" si="106"/>
        <v>0</v>
      </c>
      <c r="H124" s="42" t="str">
        <f t="shared" si="106"/>
        <v>0</v>
      </c>
    </row>
    <row r="125">
      <c r="A125" s="42" t="str">
        <f t="shared" si="80"/>
        <v>Guava</v>
      </c>
      <c r="B125" s="42" t="str">
        <f t="shared" si="101"/>
        <v>0</v>
      </c>
      <c r="C125" s="42" t="str">
        <f t="shared" si="83"/>
        <v>0</v>
      </c>
      <c r="D125" s="42" t="str">
        <f t="shared" ref="D125:H125" si="107">(C125/C$100)*D$100</f>
        <v>0</v>
      </c>
      <c r="E125" s="42" t="str">
        <f t="shared" si="107"/>
        <v>0</v>
      </c>
      <c r="F125" s="42" t="str">
        <f t="shared" si="107"/>
        <v>0</v>
      </c>
      <c r="G125" s="42" t="str">
        <f t="shared" si="107"/>
        <v>0</v>
      </c>
      <c r="H125" s="42" t="str">
        <f t="shared" si="107"/>
        <v>0</v>
      </c>
    </row>
    <row r="126">
      <c r="A126" s="42" t="str">
        <f t="shared" si="80"/>
        <v>Citrus</v>
      </c>
      <c r="B126" s="42" t="str">
        <f t="shared" si="101"/>
        <v>0</v>
      </c>
      <c r="C126" s="42" t="str">
        <f t="shared" si="83"/>
        <v>0</v>
      </c>
      <c r="D126" s="42" t="str">
        <f t="shared" ref="D126:H126" si="108">(C126/C$100)*D$100</f>
        <v>0</v>
      </c>
      <c r="E126" s="42" t="str">
        <f t="shared" si="108"/>
        <v>0</v>
      </c>
      <c r="F126" s="42" t="str">
        <f t="shared" si="108"/>
        <v>0</v>
      </c>
      <c r="G126" s="42" t="str">
        <f t="shared" si="108"/>
        <v>0</v>
      </c>
      <c r="H126" s="42" t="str">
        <f t="shared" si="108"/>
        <v>0</v>
      </c>
    </row>
    <row r="128">
      <c r="C128" s="138"/>
      <c r="D128" s="80"/>
      <c r="E128" s="80"/>
      <c r="F128" s="80"/>
      <c r="G128" s="80"/>
      <c r="H128" s="80"/>
      <c r="I128" s="80"/>
    </row>
    <row r="129">
      <c r="A129" t="s">
        <v>574</v>
      </c>
      <c r="C129" s="155"/>
      <c r="D129" s="155"/>
      <c r="E129" s="155"/>
      <c r="F129" s="155"/>
      <c r="G129" s="155"/>
      <c r="H129" s="155"/>
      <c r="I129" s="155"/>
    </row>
    <row r="130">
      <c r="A130">
        <v>1.0</v>
      </c>
      <c r="B130" t="s">
        <v>600</v>
      </c>
    </row>
    <row r="131">
      <c r="A131">
        <v>2.0</v>
      </c>
      <c r="B131" t="s">
        <v>601</v>
      </c>
    </row>
    <row r="132">
      <c r="A132">
        <v>3.0</v>
      </c>
      <c r="B132" t="s">
        <v>577</v>
      </c>
    </row>
  </sheetData>
  <mergeCells count="13">
    <mergeCell ref="A3:B3"/>
    <mergeCell ref="A11:H11"/>
    <mergeCell ref="A14:A22"/>
    <mergeCell ref="A24:A31"/>
    <mergeCell ref="A43:H43"/>
    <mergeCell ref="A41:H41"/>
    <mergeCell ref="A1:H1"/>
    <mergeCell ref="A44:A45"/>
    <mergeCell ref="A71:H71"/>
    <mergeCell ref="A72:A73"/>
    <mergeCell ref="A99:H99"/>
    <mergeCell ref="A100:A101"/>
    <mergeCell ref="A37:A40"/>
  </mergeCells>
  <printOptions/>
  <pageMargins bottom="0.75" footer="0.0" header="0.0" left="0.7" right="0.7" top="0.75"/>
  <pageSetup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10" width="15.86"/>
    <col customWidth="1" min="11" max="11" width="10.57"/>
    <col customWidth="1" min="12" max="12" width="8.71"/>
    <col customWidth="1" min="13" max="13" width="22.86"/>
    <col customWidth="1" min="14" max="14" width="12.86"/>
    <col customWidth="1" min="15" max="20" width="8.71"/>
  </cols>
  <sheetData>
    <row r="1"/>
    <row r="2">
      <c r="A2" s="25" t="s">
        <v>602</v>
      </c>
    </row>
    <row r="3">
      <c r="A3" s="25" t="s">
        <v>603</v>
      </c>
    </row>
    <row r="4">
      <c r="B4" s="93"/>
      <c r="C4" s="93"/>
      <c r="D4" s="93"/>
      <c r="E4" s="93"/>
      <c r="F4" s="45" t="s">
        <v>604</v>
      </c>
    </row>
    <row r="5">
      <c r="A5" s="93" t="s">
        <v>218</v>
      </c>
      <c r="B5" s="93">
        <v>20.0</v>
      </c>
      <c r="C5" s="93" t="s">
        <v>605</v>
      </c>
      <c r="D5" s="93"/>
      <c r="E5" s="93"/>
      <c r="F5" s="322" t="s">
        <v>606</v>
      </c>
      <c r="G5" s="322" t="s">
        <v>607</v>
      </c>
      <c r="H5" s="93"/>
    </row>
    <row r="6">
      <c r="A6" s="93" t="s">
        <v>608</v>
      </c>
      <c r="B6" s="93">
        <v>8.0</v>
      </c>
      <c r="C6" s="93"/>
      <c r="D6" s="93"/>
      <c r="E6" s="93"/>
      <c r="F6" s="42" t="s">
        <v>609</v>
      </c>
      <c r="G6" s="355">
        <v>0.05</v>
      </c>
      <c r="H6" s="93"/>
    </row>
    <row r="7">
      <c r="A7" s="93"/>
      <c r="B7" s="93"/>
      <c r="C7" s="93"/>
      <c r="D7" s="93"/>
      <c r="E7" s="93"/>
      <c r="F7" s="42" t="s">
        <v>610</v>
      </c>
      <c r="G7" s="355">
        <v>0.0</v>
      </c>
      <c r="H7" s="93"/>
    </row>
    <row r="8">
      <c r="A8" s="93"/>
      <c r="B8" s="93"/>
      <c r="C8" s="93"/>
      <c r="D8" s="93"/>
      <c r="E8" s="93"/>
      <c r="F8" s="42"/>
      <c r="G8" s="355"/>
      <c r="H8" s="93"/>
    </row>
    <row r="9">
      <c r="A9" s="197" t="s">
        <v>156</v>
      </c>
      <c r="B9" s="198" t="s">
        <v>137</v>
      </c>
      <c r="C9" s="198" t="s">
        <v>138</v>
      </c>
      <c r="D9" s="198" t="s">
        <v>139</v>
      </c>
      <c r="E9" s="198" t="s">
        <v>140</v>
      </c>
      <c r="F9" s="198" t="s">
        <v>141</v>
      </c>
      <c r="G9" s="198" t="s">
        <v>142</v>
      </c>
      <c r="H9" s="198" t="s">
        <v>143</v>
      </c>
    </row>
    <row r="10">
      <c r="A10" s="87" t="s">
        <v>611</v>
      </c>
      <c r="B10" s="356" t="str">
        <f t="shared" ref="B10:H10" si="1">B33/($B$5*$B$6)</f>
        <v>  191 </v>
      </c>
      <c r="C10" s="356" t="str">
        <f t="shared" si="1"/>
        <v>  211 </v>
      </c>
      <c r="D10" s="356" t="str">
        <f t="shared" si="1"/>
        <v>  230 </v>
      </c>
      <c r="E10" s="356" t="str">
        <f t="shared" si="1"/>
        <v>  249 </v>
      </c>
      <c r="F10" s="356" t="str">
        <f t="shared" si="1"/>
        <v>  268 </v>
      </c>
      <c r="G10" s="356" t="str">
        <f t="shared" si="1"/>
        <v>  287 </v>
      </c>
      <c r="H10" s="356" t="str">
        <f t="shared" si="1"/>
        <v>  306 </v>
      </c>
      <c r="J10" s="357"/>
    </row>
    <row r="11">
      <c r="A11" s="358" t="str">
        <f>'10.Grain Production details'!A42</f>
        <v> Soybean</v>
      </c>
      <c r="B11" s="358" t="str">
        <f>'10.Grain Production details'!B42</f>
        <v>  18,331 </v>
      </c>
      <c r="C11" s="358" t="str">
        <f>'10.Grain Production details'!C42</f>
        <v>  20,164 </v>
      </c>
      <c r="D11" s="358" t="str">
        <f>'10.Grain Production details'!D42</f>
        <v>  21,997 </v>
      </c>
      <c r="E11" s="358" t="str">
        <f>'10.Grain Production details'!E42</f>
        <v>  23,831 </v>
      </c>
      <c r="F11" s="358" t="str">
        <f>'10.Grain Production details'!F42</f>
        <v>  25,664 </v>
      </c>
      <c r="G11" s="358" t="str">
        <f>'10.Grain Production details'!G42</f>
        <v>  27,497 </v>
      </c>
      <c r="H11" s="358" t="str">
        <f>'10.Grain Production details'!H42</f>
        <v>  29,330 </v>
      </c>
    </row>
    <row r="12">
      <c r="A12" s="358" t="str">
        <f>'10.Grain Production details'!A43</f>
        <v> Red Gram/Tur</v>
      </c>
      <c r="B12" s="358" t="str">
        <f>'10.Grain Production details'!B43</f>
        <v>  3,208 </v>
      </c>
      <c r="C12" s="358" t="str">
        <f>'10.Grain Production details'!C43</f>
        <v>  3,529 </v>
      </c>
      <c r="D12" s="358" t="str">
        <f>'10.Grain Production details'!D43</f>
        <v>  3,850 </v>
      </c>
      <c r="E12" s="358" t="str">
        <f>'10.Grain Production details'!E43</f>
        <v>  4,170 </v>
      </c>
      <c r="F12" s="358" t="str">
        <f>'10.Grain Production details'!F43</f>
        <v>  4,491 </v>
      </c>
      <c r="G12" s="358" t="str">
        <f>'10.Grain Production details'!G43</f>
        <v>  4,812 </v>
      </c>
      <c r="H12" s="358" t="str">
        <f>'10.Grain Production details'!H43</f>
        <v>  5,133 </v>
      </c>
    </row>
    <row r="13">
      <c r="A13" s="358" t="str">
        <f>'10.Grain Production details'!A44</f>
        <v> Paddy/Rice</v>
      </c>
      <c r="B13" s="358" t="str">
        <f>'10.Grain Production details'!B44</f>
        <v>  -   </v>
      </c>
      <c r="C13" s="358" t="str">
        <f>'10.Grain Production details'!C44</f>
        <v>  -   </v>
      </c>
      <c r="D13" s="358" t="str">
        <f>'10.Grain Production details'!D44</f>
        <v>  -   </v>
      </c>
      <c r="E13" s="358" t="str">
        <f>'10.Grain Production details'!E44</f>
        <v>  -   </v>
      </c>
      <c r="F13" s="358" t="str">
        <f>'10.Grain Production details'!F44</f>
        <v>  -   </v>
      </c>
      <c r="G13" s="358" t="str">
        <f>'10.Grain Production details'!G44</f>
        <v>  -   </v>
      </c>
      <c r="H13" s="358" t="str">
        <f>'10.Grain Production details'!H44</f>
        <v>  -   </v>
      </c>
    </row>
    <row r="14">
      <c r="A14" s="358" t="str">
        <f>'10.Grain Production details'!A45</f>
        <v> Green Gram/ Moong</v>
      </c>
      <c r="B14" s="358" t="str">
        <f>'10.Grain Production details'!B45</f>
        <v>  -   </v>
      </c>
      <c r="C14" s="358" t="str">
        <f>'10.Grain Production details'!C45</f>
        <v>  -   </v>
      </c>
      <c r="D14" s="358" t="str">
        <f>'10.Grain Production details'!D45</f>
        <v>  -   </v>
      </c>
      <c r="E14" s="358" t="str">
        <f>'10.Grain Production details'!E45</f>
        <v>  -   </v>
      </c>
      <c r="F14" s="358" t="str">
        <f>'10.Grain Production details'!F45</f>
        <v>  -   </v>
      </c>
      <c r="G14" s="358" t="str">
        <f>'10.Grain Production details'!G45</f>
        <v>  -   </v>
      </c>
      <c r="H14" s="358" t="str">
        <f>'10.Grain Production details'!H45</f>
        <v>  -   </v>
      </c>
    </row>
    <row r="15">
      <c r="A15" s="358" t="str">
        <f>'10.Grain Production details'!A46</f>
        <v> Maize</v>
      </c>
      <c r="B15" s="358" t="str">
        <f>'10.Grain Production details'!B46</f>
        <v>  -   </v>
      </c>
      <c r="C15" s="358" t="str">
        <f>'10.Grain Production details'!C46</f>
        <v>  -   </v>
      </c>
      <c r="D15" s="358" t="str">
        <f>'10.Grain Production details'!D46</f>
        <v>  -   </v>
      </c>
      <c r="E15" s="358" t="str">
        <f>'10.Grain Production details'!E46</f>
        <v>  -   </v>
      </c>
      <c r="F15" s="358" t="str">
        <f>'10.Grain Production details'!F46</f>
        <v>  -   </v>
      </c>
      <c r="G15" s="358" t="str">
        <f>'10.Grain Production details'!G46</f>
        <v>  -   </v>
      </c>
      <c r="H15" s="358" t="str">
        <f>'10.Grain Production details'!H46</f>
        <v>  -   </v>
      </c>
    </row>
    <row r="16">
      <c r="A16" s="358" t="str">
        <f>'10.Grain Production details'!A47</f>
        <v> Black Gram/Udid</v>
      </c>
      <c r="B16" s="358" t="str">
        <f>'10.Grain Production details'!B47</f>
        <v>  -   </v>
      </c>
      <c r="C16" s="358" t="str">
        <f>'10.Grain Production details'!C47</f>
        <v>  -   </v>
      </c>
      <c r="D16" s="358" t="str">
        <f>'10.Grain Production details'!D47</f>
        <v>  -   </v>
      </c>
      <c r="E16" s="358" t="str">
        <f>'10.Grain Production details'!E47</f>
        <v>  -   </v>
      </c>
      <c r="F16" s="358" t="str">
        <f>'10.Grain Production details'!F47</f>
        <v>  -   </v>
      </c>
      <c r="G16" s="358" t="str">
        <f>'10.Grain Production details'!G47</f>
        <v>  -   </v>
      </c>
      <c r="H16" s="358" t="str">
        <f>'10.Grain Production details'!H47</f>
        <v>  -   </v>
      </c>
    </row>
    <row r="17">
      <c r="A17" s="358" t="str">
        <f>'10.Grain Production details'!A48</f>
        <v> Bajra</v>
      </c>
      <c r="B17" s="358" t="str">
        <f>'10.Grain Production details'!B48</f>
        <v>  -   </v>
      </c>
      <c r="C17" s="358" t="str">
        <f>'10.Grain Production details'!C48</f>
        <v>  -   </v>
      </c>
      <c r="D17" s="358" t="str">
        <f>'10.Grain Production details'!D48</f>
        <v>  -   </v>
      </c>
      <c r="E17" s="358" t="str">
        <f>'10.Grain Production details'!E48</f>
        <v>  -   </v>
      </c>
      <c r="F17" s="358" t="str">
        <f>'10.Grain Production details'!F48</f>
        <v>  -   </v>
      </c>
      <c r="G17" s="358" t="str">
        <f>'10.Grain Production details'!G48</f>
        <v>  -   </v>
      </c>
      <c r="H17" s="358" t="str">
        <f>'10.Grain Production details'!H48</f>
        <v>  -   </v>
      </c>
    </row>
    <row r="18">
      <c r="A18" s="358" t="str">
        <f>'10.Grain Production details'!A49</f>
        <v> Jawar</v>
      </c>
      <c r="B18" s="358" t="str">
        <f>'10.Grain Production details'!B49</f>
        <v>  -   </v>
      </c>
      <c r="C18" s="358" t="str">
        <f>'10.Grain Production details'!C49</f>
        <v>  -   </v>
      </c>
      <c r="D18" s="358" t="str">
        <f>'10.Grain Production details'!D49</f>
        <v>  -   </v>
      </c>
      <c r="E18" s="358" t="str">
        <f>'10.Grain Production details'!E49</f>
        <v>  -   </v>
      </c>
      <c r="F18" s="358" t="str">
        <f>'10.Grain Production details'!F49</f>
        <v>  -   </v>
      </c>
      <c r="G18" s="358" t="str">
        <f>'10.Grain Production details'!G49</f>
        <v>  -   </v>
      </c>
      <c r="H18" s="358" t="str">
        <f>'10.Grain Production details'!H49</f>
        <v>  -   </v>
      </c>
    </row>
    <row r="19">
      <c r="A19" s="358" t="str">
        <f>'10.Grain Production details'!A50</f>
        <v> Sunflower</v>
      </c>
      <c r="B19" s="358" t="str">
        <f>'10.Grain Production details'!B50</f>
        <v>  -   </v>
      </c>
      <c r="C19" s="358" t="str">
        <f>'10.Grain Production details'!C50</f>
        <v>  -   </v>
      </c>
      <c r="D19" s="358" t="str">
        <f>'10.Grain Production details'!D50</f>
        <v>  -   </v>
      </c>
      <c r="E19" s="358" t="str">
        <f>'10.Grain Production details'!E50</f>
        <v>  -   </v>
      </c>
      <c r="F19" s="358" t="str">
        <f>'10.Grain Production details'!F50</f>
        <v>  -   </v>
      </c>
      <c r="G19" s="358" t="str">
        <f>'10.Grain Production details'!G50</f>
        <v>  -   </v>
      </c>
      <c r="H19" s="358" t="str">
        <f>'10.Grain Production details'!H50</f>
        <v>  -   </v>
      </c>
    </row>
    <row r="20">
      <c r="A20" s="358" t="str">
        <f>'10.Grain Production details'!A51</f>
        <v> Wheat</v>
      </c>
      <c r="B20" s="358" t="str">
        <f>'10.Grain Production details'!B51</f>
        <v>  -   </v>
      </c>
      <c r="C20" s="358" t="str">
        <f>'10.Grain Production details'!C51</f>
        <v>  -   </v>
      </c>
      <c r="D20" s="358" t="str">
        <f>'10.Grain Production details'!D51</f>
        <v>  -   </v>
      </c>
      <c r="E20" s="358" t="str">
        <f>'10.Grain Production details'!E51</f>
        <v>  -   </v>
      </c>
      <c r="F20" s="358" t="str">
        <f>'10.Grain Production details'!F51</f>
        <v>  -   </v>
      </c>
      <c r="G20" s="358" t="str">
        <f>'10.Grain Production details'!G51</f>
        <v>  -   </v>
      </c>
      <c r="H20" s="358" t="str">
        <f>'10.Grain Production details'!H51</f>
        <v>  -   </v>
      </c>
    </row>
    <row r="21">
      <c r="A21" s="358" t="str">
        <f>'10.Grain Production details'!A52</f>
        <v> Bengal Gram/Channa</v>
      </c>
      <c r="B21" s="358" t="str">
        <f>'10.Grain Production details'!B52</f>
        <v>  9,089 </v>
      </c>
      <c r="C21" s="358" t="str">
        <f>'10.Grain Production details'!C52</f>
        <v>  9,998 </v>
      </c>
      <c r="D21" s="358" t="str">
        <f>'10.Grain Production details'!D52</f>
        <v>  10,907 </v>
      </c>
      <c r="E21" s="358" t="str">
        <f>'10.Grain Production details'!E52</f>
        <v>  11,816 </v>
      </c>
      <c r="F21" s="358" t="str">
        <f>'10.Grain Production details'!F52</f>
        <v>  12,725 </v>
      </c>
      <c r="G21" s="358" t="str">
        <f>'10.Grain Production details'!G52</f>
        <v>  13,634 </v>
      </c>
      <c r="H21" s="358" t="str">
        <f>'10.Grain Production details'!H52</f>
        <v>  14,543 </v>
      </c>
    </row>
    <row r="22">
      <c r="A22" s="358" t="str">
        <f>'10.Grain Production details'!A53</f>
        <v> Jawar</v>
      </c>
      <c r="B22" s="358" t="str">
        <f>'10.Grain Production details'!B53</f>
        <v>  -   </v>
      </c>
      <c r="C22" s="358" t="str">
        <f>'10.Grain Production details'!C53</f>
        <v>  -   </v>
      </c>
      <c r="D22" s="358" t="str">
        <f>'10.Grain Production details'!D53</f>
        <v>  -   </v>
      </c>
      <c r="E22" s="358" t="str">
        <f>'10.Grain Production details'!E53</f>
        <v>  -   </v>
      </c>
      <c r="F22" s="358" t="str">
        <f>'10.Grain Production details'!F53</f>
        <v>  -   </v>
      </c>
      <c r="G22" s="358" t="str">
        <f>'10.Grain Production details'!G53</f>
        <v>  -   </v>
      </c>
      <c r="H22" s="358" t="str">
        <f>'10.Grain Production details'!H53</f>
        <v>  -   </v>
      </c>
    </row>
    <row r="23">
      <c r="A23" s="358" t="str">
        <f>'10.Grain Production details'!A54</f>
        <v> Maize</v>
      </c>
      <c r="B23" s="358" t="str">
        <f>'10.Grain Production details'!B54</f>
        <v>  -   </v>
      </c>
      <c r="C23" s="358" t="str">
        <f>'10.Grain Production details'!C54</f>
        <v>  -   </v>
      </c>
      <c r="D23" s="358" t="str">
        <f>'10.Grain Production details'!D54</f>
        <v>  -   </v>
      </c>
      <c r="E23" s="358" t="str">
        <f>'10.Grain Production details'!E54</f>
        <v>  -   </v>
      </c>
      <c r="F23" s="358" t="str">
        <f>'10.Grain Production details'!F54</f>
        <v>  -   </v>
      </c>
      <c r="G23" s="358" t="str">
        <f>'10.Grain Production details'!G54</f>
        <v>  -   </v>
      </c>
      <c r="H23" s="358" t="str">
        <f>'10.Grain Production details'!H54</f>
        <v>  -   </v>
      </c>
    </row>
    <row r="24">
      <c r="A24" s="358" t="str">
        <f>'10.Grain Production details'!A55</f>
        <v> Safflower</v>
      </c>
      <c r="B24" s="358" t="str">
        <f>'10.Grain Production details'!B55</f>
        <v>  -   </v>
      </c>
      <c r="C24" s="358" t="str">
        <f>'10.Grain Production details'!C55</f>
        <v>  -   </v>
      </c>
      <c r="D24" s="358" t="str">
        <f>'10.Grain Production details'!D55</f>
        <v>  -   </v>
      </c>
      <c r="E24" s="358" t="str">
        <f>'10.Grain Production details'!E55</f>
        <v>  -   </v>
      </c>
      <c r="F24" s="358" t="str">
        <f>'10.Grain Production details'!F55</f>
        <v>  -   </v>
      </c>
      <c r="G24" s="358" t="str">
        <f>'10.Grain Production details'!G55</f>
        <v>  -   </v>
      </c>
      <c r="H24" s="358" t="str">
        <f>'10.Grain Production details'!H55</f>
        <v>  -   </v>
      </c>
    </row>
    <row r="25">
      <c r="A25" s="358" t="str">
        <f>'10.Grain Production details'!A56</f>
        <v/>
      </c>
      <c r="B25" s="358" t="str">
        <f>'10.Grain Production details'!B56</f>
        <v>  -   </v>
      </c>
      <c r="C25" s="358" t="str">
        <f>'10.Grain Production details'!C56</f>
        <v>  -   </v>
      </c>
      <c r="D25" s="358" t="str">
        <f>'10.Grain Production details'!D56</f>
        <v>  -   </v>
      </c>
      <c r="E25" s="358" t="str">
        <f>'10.Grain Production details'!E56</f>
        <v>  -   </v>
      </c>
      <c r="F25" s="358" t="str">
        <f>'10.Grain Production details'!F56</f>
        <v>  -   </v>
      </c>
      <c r="G25" s="358" t="str">
        <f>'10.Grain Production details'!G56</f>
        <v>  -   </v>
      </c>
      <c r="H25" s="358" t="str">
        <f>'10.Grain Production details'!H56</f>
        <v>  -   </v>
      </c>
    </row>
    <row r="26">
      <c r="A26" s="358" t="str">
        <f>'10.Grain Production details'!A57</f>
        <v/>
      </c>
      <c r="B26" s="358" t="str">
        <f>'10.Grain Production details'!B57</f>
        <v>  -   </v>
      </c>
      <c r="C26" s="358" t="str">
        <f>'10.Grain Production details'!C57</f>
        <v>  -   </v>
      </c>
      <c r="D26" s="358" t="str">
        <f>'10.Grain Production details'!D57</f>
        <v>  -   </v>
      </c>
      <c r="E26" s="358" t="str">
        <f>'10.Grain Production details'!E57</f>
        <v>  -   </v>
      </c>
      <c r="F26" s="358" t="str">
        <f>'10.Grain Production details'!F57</f>
        <v>  -   </v>
      </c>
      <c r="G26" s="358" t="str">
        <f>'10.Grain Production details'!G57</f>
        <v>  -   </v>
      </c>
      <c r="H26" s="358" t="str">
        <f>'10.Grain Production details'!H57</f>
        <v>  -   </v>
      </c>
    </row>
    <row r="27">
      <c r="A27" s="358" t="str">
        <f>'10.Grain Production details'!A58</f>
        <v/>
      </c>
      <c r="B27" s="358" t="str">
        <f>'10.Grain Production details'!B58</f>
        <v>  -   </v>
      </c>
      <c r="C27" s="358" t="str">
        <f>'10.Grain Production details'!C58</f>
        <v>  -   </v>
      </c>
      <c r="D27" s="358" t="str">
        <f>'10.Grain Production details'!D58</f>
        <v>  -   </v>
      </c>
      <c r="E27" s="358" t="str">
        <f>'10.Grain Production details'!E58</f>
        <v>  -   </v>
      </c>
      <c r="F27" s="358" t="str">
        <f>'10.Grain Production details'!F58</f>
        <v>  -   </v>
      </c>
      <c r="G27" s="358" t="str">
        <f>'10.Grain Production details'!G58</f>
        <v>  -   </v>
      </c>
      <c r="H27" s="358" t="str">
        <f>'10.Grain Production details'!H58</f>
        <v>  -   </v>
      </c>
    </row>
    <row r="28">
      <c r="A28" s="358" t="str">
        <f>'10.Grain Production details'!A59</f>
        <v> Groundnut</v>
      </c>
      <c r="B28" s="358" t="str">
        <f>'10.Grain Production details'!B59</f>
        <v>  -   </v>
      </c>
      <c r="C28" s="358" t="str">
        <f>'10.Grain Production details'!C59</f>
        <v>  -   </v>
      </c>
      <c r="D28" s="358" t="str">
        <f>'10.Grain Production details'!D59</f>
        <v>  -   </v>
      </c>
      <c r="E28" s="358" t="str">
        <f>'10.Grain Production details'!E59</f>
        <v>  -   </v>
      </c>
      <c r="F28" s="358" t="str">
        <f>'10.Grain Production details'!F59</f>
        <v>  -   </v>
      </c>
      <c r="G28" s="358" t="str">
        <f>'10.Grain Production details'!G59</f>
        <v>  -   </v>
      </c>
      <c r="H28" s="358" t="str">
        <f>'10.Grain Production details'!H59</f>
        <v>  -   </v>
      </c>
    </row>
    <row r="29">
      <c r="A29" s="358" t="str">
        <f>'10.Grain Production details'!A60</f>
        <v/>
      </c>
      <c r="B29" s="358" t="str">
        <f>'10.Grain Production details'!B60</f>
        <v>  -   </v>
      </c>
      <c r="C29" s="358" t="str">
        <f>'10.Grain Production details'!C60</f>
        <v>  -   </v>
      </c>
      <c r="D29" s="358" t="str">
        <f>'10.Grain Production details'!D60</f>
        <v>  -   </v>
      </c>
      <c r="E29" s="358" t="str">
        <f>'10.Grain Production details'!E60</f>
        <v>  -   </v>
      </c>
      <c r="F29" s="358" t="str">
        <f>'10.Grain Production details'!F60</f>
        <v>  -   </v>
      </c>
      <c r="G29" s="358" t="str">
        <f>'10.Grain Production details'!G60</f>
        <v>  -   </v>
      </c>
      <c r="H29" s="358" t="str">
        <f>'10.Grain Production details'!H60</f>
        <v>  -   </v>
      </c>
    </row>
    <row r="30">
      <c r="A30" s="358" t="str">
        <f>'10.Grain Production details'!A61</f>
        <v/>
      </c>
      <c r="B30" s="358" t="str">
        <f>'10.Grain Production details'!B61</f>
        <v>  -   </v>
      </c>
      <c r="C30" s="358" t="str">
        <f>'10.Grain Production details'!C61</f>
        <v>  -   </v>
      </c>
      <c r="D30" s="358" t="str">
        <f>'10.Grain Production details'!D61</f>
        <v>  -   </v>
      </c>
      <c r="E30" s="358" t="str">
        <f>'10.Grain Production details'!E61</f>
        <v>  -   </v>
      </c>
      <c r="F30" s="358" t="str">
        <f>'10.Grain Production details'!F61</f>
        <v>  -   </v>
      </c>
      <c r="G30" s="358" t="str">
        <f>'10.Grain Production details'!G61</f>
        <v>  -   </v>
      </c>
      <c r="H30" s="358" t="str">
        <f>'10.Grain Production details'!H61</f>
        <v>  -   </v>
      </c>
    </row>
    <row r="31">
      <c r="A31" s="358" t="str">
        <f>'10.Grain Production details'!A62</f>
        <v/>
      </c>
      <c r="B31" s="358" t="str">
        <f>'10.Grain Production details'!B62</f>
        <v>  -   </v>
      </c>
      <c r="C31" s="358" t="str">
        <f>'10.Grain Production details'!C62</f>
        <v>  -   </v>
      </c>
      <c r="D31" s="358" t="str">
        <f>'10.Grain Production details'!D62</f>
        <v>  -   </v>
      </c>
      <c r="E31" s="358" t="str">
        <f>'10.Grain Production details'!E62</f>
        <v>  -   </v>
      </c>
      <c r="F31" s="358" t="str">
        <f>'10.Grain Production details'!F62</f>
        <v>  -   </v>
      </c>
      <c r="G31" s="358" t="str">
        <f>'10.Grain Production details'!G62</f>
        <v>  -   </v>
      </c>
      <c r="H31" s="358" t="str">
        <f>'10.Grain Production details'!H62</f>
        <v>  -   </v>
      </c>
    </row>
    <row r="32">
      <c r="A32" s="358" t="str">
        <f>'10.Grain Production details'!B63</f>
        <v/>
      </c>
      <c r="B32" s="358" t="str">
        <f>'10.Grain Production details'!C63</f>
        <v/>
      </c>
      <c r="C32" s="358" t="str">
        <f>'10.Grain Production details'!D63</f>
        <v/>
      </c>
      <c r="D32" s="358" t="str">
        <f>'10.Grain Production details'!E63</f>
        <v/>
      </c>
      <c r="E32" s="358" t="str">
        <f>'10.Grain Production details'!F63</f>
        <v/>
      </c>
      <c r="F32" s="358" t="str">
        <f>'10.Grain Production details'!G63</f>
        <v/>
      </c>
      <c r="G32" s="358" t="str">
        <f>'10.Grain Production details'!H63</f>
        <v/>
      </c>
      <c r="H32" s="358" t="str">
        <f>'10.Grain Production details'!I63</f>
        <v/>
      </c>
    </row>
    <row r="33">
      <c r="A33" s="90" t="s">
        <v>612</v>
      </c>
      <c r="B33" s="358" t="str">
        <f t="shared" ref="B33:H33" si="2">SUM(B11:B32)</f>
        <v>  30,628 </v>
      </c>
      <c r="C33" s="358" t="str">
        <f t="shared" si="2"/>
        <v>  33,691 </v>
      </c>
      <c r="D33" s="358" t="str">
        <f t="shared" si="2"/>
        <v>  36,754 </v>
      </c>
      <c r="E33" s="358" t="str">
        <f t="shared" si="2"/>
        <v>  39,817 </v>
      </c>
      <c r="F33" s="358" t="str">
        <f t="shared" si="2"/>
        <v>  42,880 </v>
      </c>
      <c r="G33" s="358" t="str">
        <f t="shared" si="2"/>
        <v>  45,943 </v>
      </c>
      <c r="H33" s="358" t="str">
        <f t="shared" si="2"/>
        <v>  49,005 </v>
      </c>
    </row>
    <row r="34">
      <c r="A34" s="358" t="str">
        <f>'11.F&amp;V Crop Production details'!A1:H1</f>
        <v> Fruit  &amp; Vegetables Crop Production Details</v>
      </c>
      <c r="B34" s="358"/>
      <c r="C34" s="358"/>
      <c r="D34" s="358"/>
      <c r="E34" s="358"/>
      <c r="F34" s="358"/>
      <c r="G34" s="358"/>
      <c r="H34" s="358"/>
    </row>
    <row r="35">
      <c r="A35" s="358" t="str">
        <f>'11.F&amp;V Crop Production details'!A46</f>
        <v> Onion</v>
      </c>
      <c r="B35" s="358" t="str">
        <f>'11.F&amp;V Crop Production details'!B46</f>
        <v>  -   </v>
      </c>
      <c r="C35" s="358" t="str">
        <f>'11.F&amp;V Crop Production details'!C46</f>
        <v>  -   </v>
      </c>
      <c r="D35" s="358" t="str">
        <f>'11.F&amp;V Crop Production details'!D46</f>
        <v>  -   </v>
      </c>
      <c r="E35" s="358" t="str">
        <f>'11.F&amp;V Crop Production details'!E46</f>
        <v>  -   </v>
      </c>
      <c r="F35" s="358" t="str">
        <f>'11.F&amp;V Crop Production details'!F46</f>
        <v>  -   </v>
      </c>
      <c r="G35" s="358" t="str">
        <f>'11.F&amp;V Crop Production details'!G46</f>
        <v>  -   </v>
      </c>
      <c r="H35" s="358" t="str">
        <f>'11.F&amp;V Crop Production details'!H46</f>
        <v>  -   </v>
      </c>
    </row>
    <row r="36">
      <c r="A36" s="358" t="str">
        <f>'11.F&amp;V Crop Production details'!A47</f>
        <v> Tomato</v>
      </c>
      <c r="B36" s="358" t="str">
        <f>'11.F&amp;V Crop Production details'!B47</f>
        <v>  -   </v>
      </c>
      <c r="C36" s="358" t="str">
        <f>'11.F&amp;V Crop Production details'!C47</f>
        <v>  -   </v>
      </c>
      <c r="D36" s="358" t="str">
        <f>'11.F&amp;V Crop Production details'!D47</f>
        <v>  -   </v>
      </c>
      <c r="E36" s="358" t="str">
        <f>'11.F&amp;V Crop Production details'!E47</f>
        <v>  -   </v>
      </c>
      <c r="F36" s="358" t="str">
        <f>'11.F&amp;V Crop Production details'!F47</f>
        <v>  -   </v>
      </c>
      <c r="G36" s="358" t="str">
        <f>'11.F&amp;V Crop Production details'!G47</f>
        <v>  -   </v>
      </c>
      <c r="H36" s="358" t="str">
        <f>'11.F&amp;V Crop Production details'!H47</f>
        <v>  -   </v>
      </c>
    </row>
    <row r="37">
      <c r="A37" s="358" t="str">
        <f>'11.F&amp;V Crop Production details'!A48</f>
        <v> Okra</v>
      </c>
      <c r="B37" s="358" t="str">
        <f>'11.F&amp;V Crop Production details'!B48</f>
        <v>  -   </v>
      </c>
      <c r="C37" s="358" t="str">
        <f>'11.F&amp;V Crop Production details'!C48</f>
        <v>  -   </v>
      </c>
      <c r="D37" s="358" t="str">
        <f>'11.F&amp;V Crop Production details'!D48</f>
        <v>  -   </v>
      </c>
      <c r="E37" s="358" t="str">
        <f>'11.F&amp;V Crop Production details'!E48</f>
        <v>  -   </v>
      </c>
      <c r="F37" s="358" t="str">
        <f>'11.F&amp;V Crop Production details'!F48</f>
        <v>  -   </v>
      </c>
      <c r="G37" s="358" t="str">
        <f>'11.F&amp;V Crop Production details'!G48</f>
        <v>  -   </v>
      </c>
      <c r="H37" s="358" t="str">
        <f>'11.F&amp;V Crop Production details'!H48</f>
        <v>  -   </v>
      </c>
    </row>
    <row r="38">
      <c r="A38" s="358" t="str">
        <f>'11.F&amp;V Crop Production details'!A49</f>
        <v> Chilli</v>
      </c>
      <c r="B38" s="358" t="str">
        <f>'11.F&amp;V Crop Production details'!B49</f>
        <v>  -   </v>
      </c>
      <c r="C38" s="358" t="str">
        <f>'11.F&amp;V Crop Production details'!C49</f>
        <v>  -   </v>
      </c>
      <c r="D38" s="358" t="str">
        <f>'11.F&amp;V Crop Production details'!D49</f>
        <v>  -   </v>
      </c>
      <c r="E38" s="358" t="str">
        <f>'11.F&amp;V Crop Production details'!E49</f>
        <v>  -   </v>
      </c>
      <c r="F38" s="358" t="str">
        <f>'11.F&amp;V Crop Production details'!F49</f>
        <v>  -   </v>
      </c>
      <c r="G38" s="358" t="str">
        <f>'11.F&amp;V Crop Production details'!G49</f>
        <v>  -   </v>
      </c>
      <c r="H38" s="358" t="str">
        <f>'11.F&amp;V Crop Production details'!H49</f>
        <v>  -   </v>
      </c>
    </row>
    <row r="39">
      <c r="A39" s="358" t="str">
        <f>'11.F&amp;V Crop Production details'!A50</f>
        <v> Potato</v>
      </c>
      <c r="B39" s="358" t="str">
        <f>'11.F&amp;V Crop Production details'!B50</f>
        <v>  -   </v>
      </c>
      <c r="C39" s="358" t="str">
        <f>'11.F&amp;V Crop Production details'!C50</f>
        <v>  -   </v>
      </c>
      <c r="D39" s="358" t="str">
        <f>'11.F&amp;V Crop Production details'!D50</f>
        <v>  -   </v>
      </c>
      <c r="E39" s="358" t="str">
        <f>'11.F&amp;V Crop Production details'!E50</f>
        <v>  -   </v>
      </c>
      <c r="F39" s="358" t="str">
        <f>'11.F&amp;V Crop Production details'!F50</f>
        <v>  -   </v>
      </c>
      <c r="G39" s="358" t="str">
        <f>'11.F&amp;V Crop Production details'!G50</f>
        <v>  -   </v>
      </c>
      <c r="H39" s="358" t="str">
        <f>'11.F&amp;V Crop Production details'!H50</f>
        <v>  -   </v>
      </c>
    </row>
    <row r="40">
      <c r="A40" s="358" t="str">
        <f>'11.F&amp;V Crop Production details'!A51</f>
        <v/>
      </c>
      <c r="B40" s="358" t="str">
        <f>'11.F&amp;V Crop Production details'!B51</f>
        <v>  -   </v>
      </c>
      <c r="C40" s="358" t="str">
        <f>'11.F&amp;V Crop Production details'!C51</f>
        <v>  -   </v>
      </c>
      <c r="D40" s="358" t="str">
        <f>'11.F&amp;V Crop Production details'!D51</f>
        <v>  -   </v>
      </c>
      <c r="E40" s="358" t="str">
        <f>'11.F&amp;V Crop Production details'!E51</f>
        <v>  -   </v>
      </c>
      <c r="F40" s="358" t="str">
        <f>'11.F&amp;V Crop Production details'!F51</f>
        <v>  -   </v>
      </c>
      <c r="G40" s="358" t="str">
        <f>'11.F&amp;V Crop Production details'!G51</f>
        <v>  -   </v>
      </c>
      <c r="H40" s="358" t="str">
        <f>'11.F&amp;V Crop Production details'!H51</f>
        <v>  -   </v>
      </c>
    </row>
    <row r="41">
      <c r="A41" s="358" t="str">
        <f>'11.F&amp;V Crop Production details'!A52</f>
        <v/>
      </c>
      <c r="B41" s="358" t="str">
        <f>'11.F&amp;V Crop Production details'!B52</f>
        <v>  -   </v>
      </c>
      <c r="C41" s="358" t="str">
        <f>'11.F&amp;V Crop Production details'!C52</f>
        <v>  -   </v>
      </c>
      <c r="D41" s="358" t="str">
        <f>'11.F&amp;V Crop Production details'!D52</f>
        <v>  -   </v>
      </c>
      <c r="E41" s="358" t="str">
        <f>'11.F&amp;V Crop Production details'!E52</f>
        <v>  -   </v>
      </c>
      <c r="F41" s="358" t="str">
        <f>'11.F&amp;V Crop Production details'!F52</f>
        <v>  -   </v>
      </c>
      <c r="G41" s="358" t="str">
        <f>'11.F&amp;V Crop Production details'!G52</f>
        <v>  -   </v>
      </c>
      <c r="H41" s="358" t="str">
        <f>'11.F&amp;V Crop Production details'!H52</f>
        <v>  -   </v>
      </c>
    </row>
    <row r="42">
      <c r="A42" s="358" t="str">
        <f>'11.F&amp;V Crop Production details'!A53</f>
        <v/>
      </c>
      <c r="B42" s="358" t="str">
        <f>'11.F&amp;V Crop Production details'!B53</f>
        <v>  -   </v>
      </c>
      <c r="C42" s="358" t="str">
        <f>'11.F&amp;V Crop Production details'!C53</f>
        <v>  -   </v>
      </c>
      <c r="D42" s="358" t="str">
        <f>'11.F&amp;V Crop Production details'!D53</f>
        <v>  -   </v>
      </c>
      <c r="E42" s="358" t="str">
        <f>'11.F&amp;V Crop Production details'!E53</f>
        <v>  -   </v>
      </c>
      <c r="F42" s="358" t="str">
        <f>'11.F&amp;V Crop Production details'!F53</f>
        <v>  -   </v>
      </c>
      <c r="G42" s="358" t="str">
        <f>'11.F&amp;V Crop Production details'!G53</f>
        <v>  -   </v>
      </c>
      <c r="H42" s="358" t="str">
        <f>'11.F&amp;V Crop Production details'!H53</f>
        <v>  -   </v>
      </c>
    </row>
    <row r="43">
      <c r="A43" s="358" t="str">
        <f>'11.F&amp;V Crop Production details'!A54</f>
        <v/>
      </c>
      <c r="B43" s="358" t="str">
        <f>'11.F&amp;V Crop Production details'!B54</f>
        <v>  -   </v>
      </c>
      <c r="C43" s="358" t="str">
        <f>'11.F&amp;V Crop Production details'!C54</f>
        <v>  -   </v>
      </c>
      <c r="D43" s="358" t="str">
        <f>'11.F&amp;V Crop Production details'!D54</f>
        <v>  -   </v>
      </c>
      <c r="E43" s="358" t="str">
        <f>'11.F&amp;V Crop Production details'!E54</f>
        <v>  -   </v>
      </c>
      <c r="F43" s="358" t="str">
        <f>'11.F&amp;V Crop Production details'!F54</f>
        <v>  -   </v>
      </c>
      <c r="G43" s="358" t="str">
        <f>'11.F&amp;V Crop Production details'!G54</f>
        <v>  -   </v>
      </c>
      <c r="H43" s="358" t="str">
        <f>'11.F&amp;V Crop Production details'!H54</f>
        <v>  -   </v>
      </c>
    </row>
    <row r="44">
      <c r="A44" s="358" t="str">
        <f>'11.F&amp;V Crop Production details'!A55</f>
        <v> Onion</v>
      </c>
      <c r="B44" s="358" t="str">
        <f>'11.F&amp;V Crop Production details'!B55</f>
        <v>  -   </v>
      </c>
      <c r="C44" s="358" t="str">
        <f>'11.F&amp;V Crop Production details'!C55</f>
        <v>  -   </v>
      </c>
      <c r="D44" s="358" t="str">
        <f>'11.F&amp;V Crop Production details'!D55</f>
        <v>  -   </v>
      </c>
      <c r="E44" s="358" t="str">
        <f>'11.F&amp;V Crop Production details'!E55</f>
        <v>  -   </v>
      </c>
      <c r="F44" s="358" t="str">
        <f>'11.F&amp;V Crop Production details'!F55</f>
        <v>  -   </v>
      </c>
      <c r="G44" s="358" t="str">
        <f>'11.F&amp;V Crop Production details'!G55</f>
        <v>  -   </v>
      </c>
      <c r="H44" s="358" t="str">
        <f>'11.F&amp;V Crop Production details'!H55</f>
        <v>  -   </v>
      </c>
    </row>
    <row r="45">
      <c r="A45" s="358" t="str">
        <f>'11.F&amp;V Crop Production details'!A56</f>
        <v> Tomato</v>
      </c>
      <c r="B45" s="358" t="str">
        <f>'11.F&amp;V Crop Production details'!B56</f>
        <v>  -   </v>
      </c>
      <c r="C45" s="358" t="str">
        <f>'11.F&amp;V Crop Production details'!C56</f>
        <v>  -   </v>
      </c>
      <c r="D45" s="358" t="str">
        <f>'11.F&amp;V Crop Production details'!D56</f>
        <v>  -   </v>
      </c>
      <c r="E45" s="358" t="str">
        <f>'11.F&amp;V Crop Production details'!E56</f>
        <v>  -   </v>
      </c>
      <c r="F45" s="358" t="str">
        <f>'11.F&amp;V Crop Production details'!F56</f>
        <v>  -   </v>
      </c>
      <c r="G45" s="358" t="str">
        <f>'11.F&amp;V Crop Production details'!G56</f>
        <v>  -   </v>
      </c>
      <c r="H45" s="358" t="str">
        <f>'11.F&amp;V Crop Production details'!H56</f>
        <v>  -   </v>
      </c>
    </row>
    <row r="46">
      <c r="A46" s="358" t="str">
        <f>'11.F&amp;V Crop Production details'!A57</f>
        <v> Okra</v>
      </c>
      <c r="B46" s="358" t="str">
        <f>'11.F&amp;V Crop Production details'!B57</f>
        <v>  -   </v>
      </c>
      <c r="C46" s="358" t="str">
        <f>'11.F&amp;V Crop Production details'!C57</f>
        <v>  -   </v>
      </c>
      <c r="D46" s="358" t="str">
        <f>'11.F&amp;V Crop Production details'!D57</f>
        <v>  -   </v>
      </c>
      <c r="E46" s="358" t="str">
        <f>'11.F&amp;V Crop Production details'!E57</f>
        <v>  -   </v>
      </c>
      <c r="F46" s="358" t="str">
        <f>'11.F&amp;V Crop Production details'!F57</f>
        <v>  -   </v>
      </c>
      <c r="G46" s="358" t="str">
        <f>'11.F&amp;V Crop Production details'!G57</f>
        <v>  -   </v>
      </c>
      <c r="H46" s="358" t="str">
        <f>'11.F&amp;V Crop Production details'!H57</f>
        <v>  -   </v>
      </c>
    </row>
    <row r="47">
      <c r="A47" s="358" t="str">
        <f>'11.F&amp;V Crop Production details'!A58</f>
        <v> Chilli</v>
      </c>
      <c r="B47" s="358" t="str">
        <f>'11.F&amp;V Crop Production details'!B58</f>
        <v>  -   </v>
      </c>
      <c r="C47" s="358" t="str">
        <f>'11.F&amp;V Crop Production details'!C58</f>
        <v>  -   </v>
      </c>
      <c r="D47" s="358" t="str">
        <f>'11.F&amp;V Crop Production details'!D58</f>
        <v>  -   </v>
      </c>
      <c r="E47" s="358" t="str">
        <f>'11.F&amp;V Crop Production details'!E58</f>
        <v>  -   </v>
      </c>
      <c r="F47" s="358" t="str">
        <f>'11.F&amp;V Crop Production details'!F58</f>
        <v>  -   </v>
      </c>
      <c r="G47" s="358" t="str">
        <f>'11.F&amp;V Crop Production details'!G58</f>
        <v>  -   </v>
      </c>
      <c r="H47" s="358" t="str">
        <f>'11.F&amp;V Crop Production details'!H58</f>
        <v>  -   </v>
      </c>
    </row>
    <row r="48">
      <c r="A48" s="358" t="str">
        <f>'11.F&amp;V Crop Production details'!A59</f>
        <v> Brinjal</v>
      </c>
      <c r="B48" s="358" t="str">
        <f>'11.F&amp;V Crop Production details'!B59</f>
        <v>  -   </v>
      </c>
      <c r="C48" s="358" t="str">
        <f>'11.F&amp;V Crop Production details'!C59</f>
        <v>  -   </v>
      </c>
      <c r="D48" s="358" t="str">
        <f>'11.F&amp;V Crop Production details'!D59</f>
        <v>  -   </v>
      </c>
      <c r="E48" s="358" t="str">
        <f>'11.F&amp;V Crop Production details'!E59</f>
        <v>  -   </v>
      </c>
      <c r="F48" s="358" t="str">
        <f>'11.F&amp;V Crop Production details'!F59</f>
        <v>  -   </v>
      </c>
      <c r="G48" s="358" t="str">
        <f>'11.F&amp;V Crop Production details'!G59</f>
        <v>  -   </v>
      </c>
      <c r="H48" s="358" t="str">
        <f>'11.F&amp;V Crop Production details'!H59</f>
        <v>  -   </v>
      </c>
    </row>
    <row r="49">
      <c r="A49" s="358" t="str">
        <f>'11.F&amp;V Crop Production details'!A60</f>
        <v/>
      </c>
      <c r="B49" s="358" t="str">
        <f>'11.F&amp;V Crop Production details'!B60</f>
        <v>  -   </v>
      </c>
      <c r="C49" s="358" t="str">
        <f>'11.F&amp;V Crop Production details'!C60</f>
        <v>  -   </v>
      </c>
      <c r="D49" s="358" t="str">
        <f>'11.F&amp;V Crop Production details'!D60</f>
        <v>  -   </v>
      </c>
      <c r="E49" s="358" t="str">
        <f>'11.F&amp;V Crop Production details'!E60</f>
        <v>  -   </v>
      </c>
      <c r="F49" s="358" t="str">
        <f>'11.F&amp;V Crop Production details'!F60</f>
        <v>  -   </v>
      </c>
      <c r="G49" s="358" t="str">
        <f>'11.F&amp;V Crop Production details'!G60</f>
        <v>  -   </v>
      </c>
      <c r="H49" s="358" t="str">
        <f>'11.F&amp;V Crop Production details'!H60</f>
        <v>  -   </v>
      </c>
    </row>
    <row r="50">
      <c r="A50" s="358" t="str">
        <f>'11.F&amp;V Crop Production details'!A61</f>
        <v/>
      </c>
      <c r="B50" s="358" t="str">
        <f>'11.F&amp;V Crop Production details'!B61</f>
        <v>  -   </v>
      </c>
      <c r="C50" s="358" t="str">
        <f>'11.F&amp;V Crop Production details'!C61</f>
        <v>  -   </v>
      </c>
      <c r="D50" s="358" t="str">
        <f>'11.F&amp;V Crop Production details'!D61</f>
        <v>  -   </v>
      </c>
      <c r="E50" s="358" t="str">
        <f>'11.F&amp;V Crop Production details'!E61</f>
        <v>  -   </v>
      </c>
      <c r="F50" s="358" t="str">
        <f>'11.F&amp;V Crop Production details'!F61</f>
        <v>  -   </v>
      </c>
      <c r="G50" s="358" t="str">
        <f>'11.F&amp;V Crop Production details'!G61</f>
        <v>  -   </v>
      </c>
      <c r="H50" s="358" t="str">
        <f>'11.F&amp;V Crop Production details'!H61</f>
        <v>  -   </v>
      </c>
    </row>
    <row r="51">
      <c r="A51" s="358" t="str">
        <f>'11.F&amp;V Crop Production details'!A62</f>
        <v/>
      </c>
      <c r="B51" s="358" t="str">
        <f>'11.F&amp;V Crop Production details'!B62</f>
        <v>  -   </v>
      </c>
      <c r="C51" s="358" t="str">
        <f>'11.F&amp;V Crop Production details'!C62</f>
        <v>  -   </v>
      </c>
      <c r="D51" s="358" t="str">
        <f>'11.F&amp;V Crop Production details'!D62</f>
        <v>  -   </v>
      </c>
      <c r="E51" s="358" t="str">
        <f>'11.F&amp;V Crop Production details'!E62</f>
        <v>  -   </v>
      </c>
      <c r="F51" s="358" t="str">
        <f>'11.F&amp;V Crop Production details'!F62</f>
        <v>  -   </v>
      </c>
      <c r="G51" s="358" t="str">
        <f>'11.F&amp;V Crop Production details'!G62</f>
        <v>  -   </v>
      </c>
      <c r="H51" s="358" t="str">
        <f>'11.F&amp;V Crop Production details'!H62</f>
        <v>  -   </v>
      </c>
    </row>
    <row r="52">
      <c r="A52" s="358" t="str">
        <f>'11.F&amp;V Crop Production details'!A63</f>
        <v/>
      </c>
      <c r="B52" s="358" t="str">
        <f>'11.F&amp;V Crop Production details'!B63</f>
        <v>  -   </v>
      </c>
      <c r="C52" s="358" t="str">
        <f>'11.F&amp;V Crop Production details'!C63</f>
        <v>  -   </v>
      </c>
      <c r="D52" s="358" t="str">
        <f>'11.F&amp;V Crop Production details'!D63</f>
        <v>  -   </v>
      </c>
      <c r="E52" s="358" t="str">
        <f>'11.F&amp;V Crop Production details'!E63</f>
        <v>  -   </v>
      </c>
      <c r="F52" s="358" t="str">
        <f>'11.F&amp;V Crop Production details'!F63</f>
        <v>  -   </v>
      </c>
      <c r="G52" s="358" t="str">
        <f>'11.F&amp;V Crop Production details'!G63</f>
        <v>  -   </v>
      </c>
      <c r="H52" s="358" t="str">
        <f>'11.F&amp;V Crop Production details'!H63</f>
        <v>  -   </v>
      </c>
    </row>
    <row r="53">
      <c r="A53" s="358" t="str">
        <f>'11.F&amp;V Crop Production details'!A64</f>
        <v/>
      </c>
      <c r="B53" s="358"/>
      <c r="C53" s="358"/>
      <c r="D53" s="358"/>
      <c r="E53" s="358"/>
      <c r="F53" s="358"/>
      <c r="G53" s="358"/>
      <c r="H53" s="358"/>
    </row>
    <row r="54">
      <c r="A54" s="358" t="str">
        <f>'11.F&amp;V Crop Production details'!A65</f>
        <v/>
      </c>
      <c r="B54" s="358"/>
      <c r="C54" s="358"/>
      <c r="D54" s="358"/>
      <c r="E54" s="358"/>
      <c r="F54" s="358"/>
      <c r="G54" s="358"/>
      <c r="H54" s="358"/>
    </row>
    <row r="55">
      <c r="A55" s="358" t="str">
        <f>'11.F&amp;V Crop Production details'!A66</f>
        <v/>
      </c>
      <c r="B55" s="358"/>
      <c r="C55" s="358"/>
      <c r="D55" s="358"/>
      <c r="E55" s="358"/>
      <c r="F55" s="358"/>
      <c r="G55" s="358"/>
      <c r="H55" s="358"/>
    </row>
    <row r="56">
      <c r="A56" s="358" t="str">
        <f>'11.F&amp;V Crop Production details'!A67</f>
        <v> Pomegranate</v>
      </c>
      <c r="B56" s="358" t="str">
        <f>'11.F&amp;V Crop Production details'!B67</f>
        <v>  -   </v>
      </c>
      <c r="C56" s="358" t="str">
        <f>'11.F&amp;V Crop Production details'!C67</f>
        <v>  -   </v>
      </c>
      <c r="D56" s="358" t="str">
        <f>'11.F&amp;V Crop Production details'!D67</f>
        <v>  -   </v>
      </c>
      <c r="E56" s="358" t="str">
        <f>'11.F&amp;V Crop Production details'!E67</f>
        <v>  -   </v>
      </c>
      <c r="F56" s="358" t="str">
        <f>'11.F&amp;V Crop Production details'!F67</f>
        <v>  -   </v>
      </c>
      <c r="G56" s="358" t="str">
        <f>'11.F&amp;V Crop Production details'!G67</f>
        <v>  -   </v>
      </c>
      <c r="H56" s="358" t="str">
        <f>'11.F&amp;V Crop Production details'!H67</f>
        <v>  -   </v>
      </c>
    </row>
    <row r="57">
      <c r="A57" s="358" t="str">
        <f>'11.F&amp;V Crop Production details'!A68</f>
        <v> Custard Apple</v>
      </c>
      <c r="B57" s="358" t="str">
        <f>'11.F&amp;V Crop Production details'!B68</f>
        <v>  -   </v>
      </c>
      <c r="C57" s="358" t="str">
        <f>'11.F&amp;V Crop Production details'!C68</f>
        <v>  -   </v>
      </c>
      <c r="D57" s="358" t="str">
        <f>'11.F&amp;V Crop Production details'!D68</f>
        <v>  -   </v>
      </c>
      <c r="E57" s="358" t="str">
        <f>'11.F&amp;V Crop Production details'!E68</f>
        <v>  -   </v>
      </c>
      <c r="F57" s="358" t="str">
        <f>'11.F&amp;V Crop Production details'!F68</f>
        <v>  -   </v>
      </c>
      <c r="G57" s="358" t="str">
        <f>'11.F&amp;V Crop Production details'!G68</f>
        <v>  -   </v>
      </c>
      <c r="H57" s="358" t="str">
        <f>'11.F&amp;V Crop Production details'!H68</f>
        <v>  -   </v>
      </c>
    </row>
    <row r="58">
      <c r="A58" s="358" t="str">
        <f>'11.F&amp;V Crop Production details'!A69</f>
        <v> Guava</v>
      </c>
      <c r="B58" s="358" t="str">
        <f>'11.F&amp;V Crop Production details'!B69</f>
        <v>  -   </v>
      </c>
      <c r="C58" s="358" t="str">
        <f>'11.F&amp;V Crop Production details'!C69</f>
        <v>  -   </v>
      </c>
      <c r="D58" s="358" t="str">
        <f>'11.F&amp;V Crop Production details'!D69</f>
        <v>  -   </v>
      </c>
      <c r="E58" s="358" t="str">
        <f>'11.F&amp;V Crop Production details'!E69</f>
        <v>  -   </v>
      </c>
      <c r="F58" s="358" t="str">
        <f>'11.F&amp;V Crop Production details'!F69</f>
        <v>  -   </v>
      </c>
      <c r="G58" s="358" t="str">
        <f>'11.F&amp;V Crop Production details'!G69</f>
        <v>  -   </v>
      </c>
      <c r="H58" s="358" t="str">
        <f>'11.F&amp;V Crop Production details'!H69</f>
        <v>  -   </v>
      </c>
    </row>
    <row r="59">
      <c r="A59" s="358" t="str">
        <f>'11.F&amp;V Crop Production details'!A70</f>
        <v> Citrus</v>
      </c>
      <c r="B59" s="358" t="str">
        <f>'11.F&amp;V Crop Production details'!B70</f>
        <v>  -   </v>
      </c>
      <c r="C59" s="358" t="str">
        <f>'11.F&amp;V Crop Production details'!C70</f>
        <v>  -   </v>
      </c>
      <c r="D59" s="358" t="str">
        <f>'11.F&amp;V Crop Production details'!D70</f>
        <v>  -   </v>
      </c>
      <c r="E59" s="358" t="str">
        <f>'11.F&amp;V Crop Production details'!E70</f>
        <v>  -   </v>
      </c>
      <c r="F59" s="358" t="str">
        <f>'11.F&amp;V Crop Production details'!F70</f>
        <v>  -   </v>
      </c>
      <c r="G59" s="358" t="str">
        <f>'11.F&amp;V Crop Production details'!G70</f>
        <v>  -   </v>
      </c>
      <c r="H59" s="358" t="str">
        <f>'11.F&amp;V Crop Production details'!H70</f>
        <v>  -   </v>
      </c>
    </row>
    <row r="60">
      <c r="A60" s="358"/>
      <c r="B60" s="358"/>
      <c r="C60" s="358"/>
      <c r="D60" s="358"/>
      <c r="E60" s="358"/>
      <c r="F60" s="358"/>
      <c r="G60" s="358"/>
      <c r="H60" s="358"/>
    </row>
    <row r="61">
      <c r="A61" s="90" t="s">
        <v>613</v>
      </c>
      <c r="B61" s="358" t="str">
        <f t="shared" ref="B61:H61" si="3">SUM(B35:B59)</f>
        <v>  -   </v>
      </c>
      <c r="C61" s="358" t="str">
        <f t="shared" si="3"/>
        <v>  -   </v>
      </c>
      <c r="D61" s="358" t="str">
        <f t="shared" si="3"/>
        <v>  -   </v>
      </c>
      <c r="E61" s="358" t="str">
        <f t="shared" si="3"/>
        <v>  -   </v>
      </c>
      <c r="F61" s="358" t="str">
        <f t="shared" si="3"/>
        <v>  -   </v>
      </c>
      <c r="G61" s="358" t="str">
        <f t="shared" si="3"/>
        <v>  -   </v>
      </c>
      <c r="H61" s="358" t="str">
        <f t="shared" si="3"/>
        <v>  -   </v>
      </c>
    </row>
    <row r="62">
      <c r="A62" s="90" t="s">
        <v>614</v>
      </c>
      <c r="B62" s="359">
        <v>0.5</v>
      </c>
      <c r="C62" s="359">
        <v>0.5</v>
      </c>
      <c r="D62" s="359">
        <v>0.5</v>
      </c>
      <c r="E62" s="359">
        <v>0.5</v>
      </c>
      <c r="F62" s="359">
        <v>0.5</v>
      </c>
      <c r="G62" s="359">
        <v>0.5</v>
      </c>
      <c r="H62" s="359">
        <v>0.5</v>
      </c>
      <c r="I62" s="120"/>
      <c r="J62" s="120"/>
      <c r="K62" s="120"/>
      <c r="L62" s="120"/>
      <c r="M62" s="120"/>
      <c r="N62" s="120"/>
      <c r="O62" s="120"/>
      <c r="P62" s="120"/>
      <c r="Q62" s="120"/>
      <c r="R62" s="120"/>
      <c r="S62" s="120"/>
      <c r="T62" s="120"/>
    </row>
    <row r="63">
      <c r="A63" s="90" t="s">
        <v>615</v>
      </c>
      <c r="B63" s="359" t="str">
        <f t="shared" ref="B63:H63" si="4">1-B62</f>
        <v>50%</v>
      </c>
      <c r="C63" s="359" t="str">
        <f t="shared" si="4"/>
        <v>50%</v>
      </c>
      <c r="D63" s="359" t="str">
        <f t="shared" si="4"/>
        <v>50%</v>
      </c>
      <c r="E63" s="359" t="str">
        <f t="shared" si="4"/>
        <v>50%</v>
      </c>
      <c r="F63" s="359" t="str">
        <f t="shared" si="4"/>
        <v>50%</v>
      </c>
      <c r="G63" s="359" t="str">
        <f t="shared" si="4"/>
        <v>50%</v>
      </c>
      <c r="H63" s="359" t="str">
        <f t="shared" si="4"/>
        <v>50%</v>
      </c>
      <c r="I63" s="120"/>
      <c r="J63" s="120"/>
      <c r="K63" s="120"/>
      <c r="L63" s="120"/>
      <c r="M63" s="120"/>
      <c r="N63" s="120"/>
      <c r="O63" s="120"/>
      <c r="P63" s="120"/>
      <c r="Q63" s="120"/>
      <c r="R63" s="120"/>
      <c r="S63" s="120"/>
      <c r="T63" s="120"/>
    </row>
    <row r="64">
      <c r="A64" s="90"/>
      <c r="B64" s="359"/>
      <c r="C64" s="359"/>
      <c r="D64" s="359"/>
      <c r="E64" s="359"/>
      <c r="F64" s="359"/>
      <c r="G64" s="359"/>
      <c r="H64" s="359"/>
      <c r="I64" s="120"/>
      <c r="J64" s="120"/>
      <c r="K64" s="120"/>
      <c r="L64" s="120"/>
      <c r="M64" s="120"/>
      <c r="N64" s="120"/>
      <c r="O64" s="120"/>
      <c r="P64" s="120"/>
      <c r="Q64" s="120"/>
      <c r="R64" s="120"/>
      <c r="S64" s="120"/>
      <c r="T64" s="120"/>
    </row>
    <row r="65">
      <c r="A65" s="90" t="s">
        <v>616</v>
      </c>
      <c r="B65" s="358" t="str">
        <f t="shared" ref="B65:H65" si="5">B33*B62</f>
        <v>  15,314 </v>
      </c>
      <c r="C65" s="358" t="str">
        <f t="shared" si="5"/>
        <v>  16,846 </v>
      </c>
      <c r="D65" s="358" t="str">
        <f t="shared" si="5"/>
        <v>  18,377 </v>
      </c>
      <c r="E65" s="358" t="str">
        <f t="shared" si="5"/>
        <v>  19,908 </v>
      </c>
      <c r="F65" s="358" t="str">
        <f t="shared" si="5"/>
        <v>  21,440 </v>
      </c>
      <c r="G65" s="358" t="str">
        <f t="shared" si="5"/>
        <v>  22,971 </v>
      </c>
      <c r="H65" s="358" t="str">
        <f t="shared" si="5"/>
        <v>  24,503 </v>
      </c>
      <c r="I65" s="120"/>
      <c r="J65" s="120"/>
      <c r="K65" s="120"/>
      <c r="L65" s="120"/>
      <c r="M65" s="120"/>
      <c r="N65" s="120"/>
      <c r="O65" s="120"/>
      <c r="P65" s="120"/>
      <c r="Q65" s="120"/>
      <c r="R65" s="120"/>
      <c r="S65" s="120"/>
      <c r="T65" s="120"/>
    </row>
    <row r="66">
      <c r="A66" s="90"/>
      <c r="B66" s="358"/>
      <c r="C66" s="358"/>
      <c r="D66" s="358"/>
      <c r="E66" s="358"/>
      <c r="F66" s="358"/>
      <c r="G66" s="358"/>
      <c r="H66" s="358"/>
    </row>
    <row r="67">
      <c r="A67" s="90" t="s">
        <v>617</v>
      </c>
      <c r="B67" s="358"/>
      <c r="C67" s="358"/>
      <c r="D67" s="358"/>
      <c r="E67" s="358"/>
      <c r="F67" s="358"/>
      <c r="G67" s="358"/>
      <c r="H67" s="358"/>
    </row>
    <row r="68">
      <c r="A68" s="360" t="str">
        <f t="shared" ref="A68:A89" si="6">A11</f>
        <v> Soybean</v>
      </c>
      <c r="B68" s="360" t="str">
        <f t="shared" ref="B68:B89" si="7">B11*$B$63</f>
        <v>  9,166 </v>
      </c>
      <c r="C68" s="360" t="str">
        <f t="shared" ref="C68:C83" si="8">C11*$C$63</f>
        <v>  10,082 </v>
      </c>
      <c r="D68" s="360" t="str">
        <f t="shared" ref="D68:D83" si="9">D11*$D$63</f>
        <v>  10,999 </v>
      </c>
      <c r="E68" s="360" t="str">
        <f t="shared" ref="E68:E83" si="10">E11*$E$63</f>
        <v>  11,915 </v>
      </c>
      <c r="F68" s="360" t="str">
        <f t="shared" ref="F68:F83" si="11">F11*$F$63</f>
        <v>  12,832 </v>
      </c>
      <c r="G68" s="360" t="str">
        <f t="shared" ref="G68:G83" si="12">G11*$G$63</f>
        <v>  13,748 </v>
      </c>
      <c r="H68" s="360" t="str">
        <f t="shared" ref="H68:H83" si="13">H11*$H$63</f>
        <v>  14,665 </v>
      </c>
    </row>
    <row r="69">
      <c r="A69" s="360" t="str">
        <f t="shared" si="6"/>
        <v> Red Gram/Tur</v>
      </c>
      <c r="B69" s="360" t="str">
        <f t="shared" si="7"/>
        <v>  1,604 </v>
      </c>
      <c r="C69" s="360" t="str">
        <f t="shared" si="8"/>
        <v>  1,764 </v>
      </c>
      <c r="D69" s="360" t="str">
        <f t="shared" si="9"/>
        <v>  1,925 </v>
      </c>
      <c r="E69" s="360" t="str">
        <f t="shared" si="10"/>
        <v>  2,085 </v>
      </c>
      <c r="F69" s="360" t="str">
        <f t="shared" si="11"/>
        <v>  2,246 </v>
      </c>
      <c r="G69" s="360" t="str">
        <f t="shared" si="12"/>
        <v>  2,406 </v>
      </c>
      <c r="H69" s="360" t="str">
        <f t="shared" si="13"/>
        <v>  2,566 </v>
      </c>
    </row>
    <row r="70">
      <c r="A70" s="360" t="str">
        <f t="shared" si="6"/>
        <v> Paddy/Rice</v>
      </c>
      <c r="B70" s="360" t="str">
        <f t="shared" si="7"/>
        <v>  -   </v>
      </c>
      <c r="C70" s="360" t="str">
        <f t="shared" si="8"/>
        <v>  -   </v>
      </c>
      <c r="D70" s="360" t="str">
        <f t="shared" si="9"/>
        <v>  -   </v>
      </c>
      <c r="E70" s="360" t="str">
        <f t="shared" si="10"/>
        <v>  -   </v>
      </c>
      <c r="F70" s="360" t="str">
        <f t="shared" si="11"/>
        <v>  -   </v>
      </c>
      <c r="G70" s="360" t="str">
        <f t="shared" si="12"/>
        <v>  -   </v>
      </c>
      <c r="H70" s="360" t="str">
        <f t="shared" si="13"/>
        <v>  -   </v>
      </c>
    </row>
    <row r="71">
      <c r="A71" s="360" t="str">
        <f t="shared" si="6"/>
        <v> Green Gram/ Moong</v>
      </c>
      <c r="B71" s="360" t="str">
        <f t="shared" si="7"/>
        <v>  -   </v>
      </c>
      <c r="C71" s="360" t="str">
        <f t="shared" si="8"/>
        <v>  -   </v>
      </c>
      <c r="D71" s="360" t="str">
        <f t="shared" si="9"/>
        <v>  -   </v>
      </c>
      <c r="E71" s="360" t="str">
        <f t="shared" si="10"/>
        <v>  -   </v>
      </c>
      <c r="F71" s="360" t="str">
        <f t="shared" si="11"/>
        <v>  -   </v>
      </c>
      <c r="G71" s="360" t="str">
        <f t="shared" si="12"/>
        <v>  -   </v>
      </c>
      <c r="H71" s="360" t="str">
        <f t="shared" si="13"/>
        <v>  -   </v>
      </c>
    </row>
    <row r="72">
      <c r="A72" s="360" t="str">
        <f t="shared" si="6"/>
        <v> Maize</v>
      </c>
      <c r="B72" s="360" t="str">
        <f t="shared" si="7"/>
        <v>  -   </v>
      </c>
      <c r="C72" s="360" t="str">
        <f t="shared" si="8"/>
        <v>  -   </v>
      </c>
      <c r="D72" s="360" t="str">
        <f t="shared" si="9"/>
        <v>  -   </v>
      </c>
      <c r="E72" s="360" t="str">
        <f t="shared" si="10"/>
        <v>  -   </v>
      </c>
      <c r="F72" s="360" t="str">
        <f t="shared" si="11"/>
        <v>  -   </v>
      </c>
      <c r="G72" s="360" t="str">
        <f t="shared" si="12"/>
        <v>  -   </v>
      </c>
      <c r="H72" s="360" t="str">
        <f t="shared" si="13"/>
        <v>  -   </v>
      </c>
    </row>
    <row r="73">
      <c r="A73" s="360" t="str">
        <f t="shared" si="6"/>
        <v> Black Gram/Udid</v>
      </c>
      <c r="B73" s="360" t="str">
        <f t="shared" si="7"/>
        <v>  -   </v>
      </c>
      <c r="C73" s="360" t="str">
        <f t="shared" si="8"/>
        <v>  -   </v>
      </c>
      <c r="D73" s="360" t="str">
        <f t="shared" si="9"/>
        <v>  -   </v>
      </c>
      <c r="E73" s="360" t="str">
        <f t="shared" si="10"/>
        <v>  -   </v>
      </c>
      <c r="F73" s="360" t="str">
        <f t="shared" si="11"/>
        <v>  -   </v>
      </c>
      <c r="G73" s="360" t="str">
        <f t="shared" si="12"/>
        <v>  -   </v>
      </c>
      <c r="H73" s="360" t="str">
        <f t="shared" si="13"/>
        <v>  -   </v>
      </c>
    </row>
    <row r="74">
      <c r="A74" s="360" t="str">
        <f t="shared" si="6"/>
        <v> Bajra</v>
      </c>
      <c r="B74" s="360" t="str">
        <f t="shared" si="7"/>
        <v>  -   </v>
      </c>
      <c r="C74" s="360" t="str">
        <f t="shared" si="8"/>
        <v>  -   </v>
      </c>
      <c r="D74" s="360" t="str">
        <f t="shared" si="9"/>
        <v>  -   </v>
      </c>
      <c r="E74" s="360" t="str">
        <f t="shared" si="10"/>
        <v>  -   </v>
      </c>
      <c r="F74" s="360" t="str">
        <f t="shared" si="11"/>
        <v>  -   </v>
      </c>
      <c r="G74" s="360" t="str">
        <f t="shared" si="12"/>
        <v>  -   </v>
      </c>
      <c r="H74" s="360" t="str">
        <f t="shared" si="13"/>
        <v>  -   </v>
      </c>
    </row>
    <row r="75">
      <c r="A75" s="360" t="str">
        <f t="shared" si="6"/>
        <v> Jawar</v>
      </c>
      <c r="B75" s="360" t="str">
        <f t="shared" si="7"/>
        <v>  -   </v>
      </c>
      <c r="C75" s="360" t="str">
        <f t="shared" si="8"/>
        <v>  -   </v>
      </c>
      <c r="D75" s="360" t="str">
        <f t="shared" si="9"/>
        <v>  -   </v>
      </c>
      <c r="E75" s="360" t="str">
        <f t="shared" si="10"/>
        <v>  -   </v>
      </c>
      <c r="F75" s="360" t="str">
        <f t="shared" si="11"/>
        <v>  -   </v>
      </c>
      <c r="G75" s="360" t="str">
        <f t="shared" si="12"/>
        <v>  -   </v>
      </c>
      <c r="H75" s="360" t="str">
        <f t="shared" si="13"/>
        <v>  -   </v>
      </c>
    </row>
    <row r="76">
      <c r="A76" s="360" t="str">
        <f t="shared" si="6"/>
        <v> Sunflower</v>
      </c>
      <c r="B76" s="360" t="str">
        <f t="shared" si="7"/>
        <v>  -   </v>
      </c>
      <c r="C76" s="360" t="str">
        <f t="shared" si="8"/>
        <v>  -   </v>
      </c>
      <c r="D76" s="360" t="str">
        <f t="shared" si="9"/>
        <v>  -   </v>
      </c>
      <c r="E76" s="360" t="str">
        <f t="shared" si="10"/>
        <v>  -   </v>
      </c>
      <c r="F76" s="360" t="str">
        <f t="shared" si="11"/>
        <v>  -   </v>
      </c>
      <c r="G76" s="360" t="str">
        <f t="shared" si="12"/>
        <v>  -   </v>
      </c>
      <c r="H76" s="360" t="str">
        <f t="shared" si="13"/>
        <v>  -   </v>
      </c>
    </row>
    <row r="77">
      <c r="A77" s="360" t="str">
        <f t="shared" si="6"/>
        <v> Wheat</v>
      </c>
      <c r="B77" s="360" t="str">
        <f t="shared" si="7"/>
        <v>  -   </v>
      </c>
      <c r="C77" s="360" t="str">
        <f t="shared" si="8"/>
        <v>  -   </v>
      </c>
      <c r="D77" s="360" t="str">
        <f t="shared" si="9"/>
        <v>  -   </v>
      </c>
      <c r="E77" s="360" t="str">
        <f t="shared" si="10"/>
        <v>  -   </v>
      </c>
      <c r="F77" s="360" t="str">
        <f t="shared" si="11"/>
        <v>  -   </v>
      </c>
      <c r="G77" s="360" t="str">
        <f t="shared" si="12"/>
        <v>  -   </v>
      </c>
      <c r="H77" s="360" t="str">
        <f t="shared" si="13"/>
        <v>  -   </v>
      </c>
    </row>
    <row r="78">
      <c r="A78" s="360" t="str">
        <f t="shared" si="6"/>
        <v> Bengal Gram/Channa</v>
      </c>
      <c r="B78" s="360" t="str">
        <f t="shared" si="7"/>
        <v>  4,545 </v>
      </c>
      <c r="C78" s="360" t="str">
        <f t="shared" si="8"/>
        <v>  4,999 </v>
      </c>
      <c r="D78" s="360" t="str">
        <f t="shared" si="9"/>
        <v>  5,454 </v>
      </c>
      <c r="E78" s="360" t="str">
        <f t="shared" si="10"/>
        <v>  5,908 </v>
      </c>
      <c r="F78" s="360" t="str">
        <f t="shared" si="11"/>
        <v>  6,362 </v>
      </c>
      <c r="G78" s="360" t="str">
        <f t="shared" si="12"/>
        <v>  6,817 </v>
      </c>
      <c r="H78" s="360" t="str">
        <f t="shared" si="13"/>
        <v>  7,271 </v>
      </c>
    </row>
    <row r="79">
      <c r="A79" s="360" t="str">
        <f t="shared" si="6"/>
        <v> Jawar</v>
      </c>
      <c r="B79" s="360" t="str">
        <f t="shared" si="7"/>
        <v>  -   </v>
      </c>
      <c r="C79" s="360" t="str">
        <f t="shared" si="8"/>
        <v>  -   </v>
      </c>
      <c r="D79" s="360" t="str">
        <f t="shared" si="9"/>
        <v>  -   </v>
      </c>
      <c r="E79" s="360" t="str">
        <f t="shared" si="10"/>
        <v>  -   </v>
      </c>
      <c r="F79" s="360" t="str">
        <f t="shared" si="11"/>
        <v>  -   </v>
      </c>
      <c r="G79" s="360" t="str">
        <f t="shared" si="12"/>
        <v>  -   </v>
      </c>
      <c r="H79" s="360" t="str">
        <f t="shared" si="13"/>
        <v>  -   </v>
      </c>
    </row>
    <row r="80">
      <c r="A80" s="360" t="str">
        <f t="shared" si="6"/>
        <v> Maize</v>
      </c>
      <c r="B80" s="360" t="str">
        <f t="shared" si="7"/>
        <v>  -   </v>
      </c>
      <c r="C80" s="360" t="str">
        <f t="shared" si="8"/>
        <v>  -   </v>
      </c>
      <c r="D80" s="360" t="str">
        <f t="shared" si="9"/>
        <v>  -   </v>
      </c>
      <c r="E80" s="360" t="str">
        <f t="shared" si="10"/>
        <v>  -   </v>
      </c>
      <c r="F80" s="360" t="str">
        <f t="shared" si="11"/>
        <v>  -   </v>
      </c>
      <c r="G80" s="360" t="str">
        <f t="shared" si="12"/>
        <v>  -   </v>
      </c>
      <c r="H80" s="360" t="str">
        <f t="shared" si="13"/>
        <v>  -   </v>
      </c>
    </row>
    <row r="81">
      <c r="A81" s="360" t="str">
        <f t="shared" si="6"/>
        <v> Safflower</v>
      </c>
      <c r="B81" s="360" t="str">
        <f t="shared" si="7"/>
        <v>  -   </v>
      </c>
      <c r="C81" s="360" t="str">
        <f t="shared" si="8"/>
        <v>  -   </v>
      </c>
      <c r="D81" s="360" t="str">
        <f t="shared" si="9"/>
        <v>  -   </v>
      </c>
      <c r="E81" s="360" t="str">
        <f t="shared" si="10"/>
        <v>  -   </v>
      </c>
      <c r="F81" s="360" t="str">
        <f t="shared" si="11"/>
        <v>  -   </v>
      </c>
      <c r="G81" s="360" t="str">
        <f t="shared" si="12"/>
        <v>  -   </v>
      </c>
      <c r="H81" s="360" t="str">
        <f t="shared" si="13"/>
        <v>  -   </v>
      </c>
    </row>
    <row r="82">
      <c r="A82" s="360" t="str">
        <f t="shared" si="6"/>
        <v/>
      </c>
      <c r="B82" s="360" t="str">
        <f t="shared" si="7"/>
        <v>  -   </v>
      </c>
      <c r="C82" s="360" t="str">
        <f t="shared" si="8"/>
        <v>  -   </v>
      </c>
      <c r="D82" s="360" t="str">
        <f t="shared" si="9"/>
        <v>  -   </v>
      </c>
      <c r="E82" s="360" t="str">
        <f t="shared" si="10"/>
        <v>  -   </v>
      </c>
      <c r="F82" s="360" t="str">
        <f t="shared" si="11"/>
        <v>  -   </v>
      </c>
      <c r="G82" s="360" t="str">
        <f t="shared" si="12"/>
        <v>  -   </v>
      </c>
      <c r="H82" s="360" t="str">
        <f t="shared" si="13"/>
        <v>  -   </v>
      </c>
    </row>
    <row r="83">
      <c r="A83" s="360" t="str">
        <f t="shared" si="6"/>
        <v/>
      </c>
      <c r="B83" s="360" t="str">
        <f t="shared" si="7"/>
        <v>  -   </v>
      </c>
      <c r="C83" s="360" t="str">
        <f t="shared" si="8"/>
        <v>  -   </v>
      </c>
      <c r="D83" s="360" t="str">
        <f t="shared" si="9"/>
        <v>  -   </v>
      </c>
      <c r="E83" s="360" t="str">
        <f t="shared" si="10"/>
        <v>  -   </v>
      </c>
      <c r="F83" s="360" t="str">
        <f t="shared" si="11"/>
        <v>  -   </v>
      </c>
      <c r="G83" s="360" t="str">
        <f t="shared" si="12"/>
        <v>  -   </v>
      </c>
      <c r="H83" s="360" t="str">
        <f t="shared" si="13"/>
        <v>  -   </v>
      </c>
    </row>
    <row r="84">
      <c r="A84" s="360" t="str">
        <f t="shared" si="6"/>
        <v/>
      </c>
      <c r="B84" s="360" t="str">
        <f t="shared" si="7"/>
        <v>  -   </v>
      </c>
      <c r="C84" s="360" t="str">
        <f t="shared" ref="C84:H84" si="14">C27*$B$63</f>
        <v>  -   </v>
      </c>
      <c r="D84" s="360" t="str">
        <f t="shared" si="14"/>
        <v>  -   </v>
      </c>
      <c r="E84" s="360" t="str">
        <f t="shared" si="14"/>
        <v>  -   </v>
      </c>
      <c r="F84" s="360" t="str">
        <f t="shared" si="14"/>
        <v>  -   </v>
      </c>
      <c r="G84" s="360" t="str">
        <f t="shared" si="14"/>
        <v>  -   </v>
      </c>
      <c r="H84" s="360" t="str">
        <f t="shared" si="14"/>
        <v>  -   </v>
      </c>
    </row>
    <row r="85">
      <c r="A85" s="360" t="str">
        <f t="shared" si="6"/>
        <v> Groundnut</v>
      </c>
      <c r="B85" s="360" t="str">
        <f t="shared" si="7"/>
        <v>  -   </v>
      </c>
      <c r="C85" s="360" t="str">
        <f t="shared" ref="C85:H85" si="15">C28*$B$63</f>
        <v>  -   </v>
      </c>
      <c r="D85" s="360" t="str">
        <f t="shared" si="15"/>
        <v>  -   </v>
      </c>
      <c r="E85" s="360" t="str">
        <f t="shared" si="15"/>
        <v>  -   </v>
      </c>
      <c r="F85" s="360" t="str">
        <f t="shared" si="15"/>
        <v>  -   </v>
      </c>
      <c r="G85" s="360" t="str">
        <f t="shared" si="15"/>
        <v>  -   </v>
      </c>
      <c r="H85" s="360" t="str">
        <f t="shared" si="15"/>
        <v>  -   </v>
      </c>
    </row>
    <row r="86">
      <c r="A86" s="360" t="str">
        <f t="shared" si="6"/>
        <v/>
      </c>
      <c r="B86" s="360" t="str">
        <f t="shared" si="7"/>
        <v>  -   </v>
      </c>
      <c r="C86" s="360" t="str">
        <f t="shared" ref="C86:H86" si="16">C29*$B$63</f>
        <v>  -   </v>
      </c>
      <c r="D86" s="360" t="str">
        <f t="shared" si="16"/>
        <v>  -   </v>
      </c>
      <c r="E86" s="360" t="str">
        <f t="shared" si="16"/>
        <v>  -   </v>
      </c>
      <c r="F86" s="360" t="str">
        <f t="shared" si="16"/>
        <v>  -   </v>
      </c>
      <c r="G86" s="360" t="str">
        <f t="shared" si="16"/>
        <v>  -   </v>
      </c>
      <c r="H86" s="360" t="str">
        <f t="shared" si="16"/>
        <v>  -   </v>
      </c>
    </row>
    <row r="87">
      <c r="A87" s="360" t="str">
        <f t="shared" si="6"/>
        <v/>
      </c>
      <c r="B87" s="360" t="str">
        <f t="shared" si="7"/>
        <v>  -   </v>
      </c>
      <c r="C87" s="360" t="str">
        <f t="shared" ref="C87:H87" si="17">C30*$B$63</f>
        <v>  -   </v>
      </c>
      <c r="D87" s="360" t="str">
        <f t="shared" si="17"/>
        <v>  -   </v>
      </c>
      <c r="E87" s="360" t="str">
        <f t="shared" si="17"/>
        <v>  -   </v>
      </c>
      <c r="F87" s="360" t="str">
        <f t="shared" si="17"/>
        <v>  -   </v>
      </c>
      <c r="G87" s="360" t="str">
        <f t="shared" si="17"/>
        <v>  -   </v>
      </c>
      <c r="H87" s="360" t="str">
        <f t="shared" si="17"/>
        <v>  -   </v>
      </c>
    </row>
    <row r="88">
      <c r="A88" s="360" t="str">
        <f t="shared" si="6"/>
        <v/>
      </c>
      <c r="B88" s="360" t="str">
        <f t="shared" si="7"/>
        <v>  -   </v>
      </c>
      <c r="C88" s="360" t="str">
        <f t="shared" ref="C88:H88" si="18">C31*$B$63</f>
        <v>  -   </v>
      </c>
      <c r="D88" s="360" t="str">
        <f t="shared" si="18"/>
        <v>  -   </v>
      </c>
      <c r="E88" s="360" t="str">
        <f t="shared" si="18"/>
        <v>  -   </v>
      </c>
      <c r="F88" s="360" t="str">
        <f t="shared" si="18"/>
        <v>  -   </v>
      </c>
      <c r="G88" s="360" t="str">
        <f t="shared" si="18"/>
        <v>  -   </v>
      </c>
      <c r="H88" s="360" t="str">
        <f t="shared" si="18"/>
        <v>  -   </v>
      </c>
    </row>
    <row r="89">
      <c r="A89" s="360" t="str">
        <f t="shared" si="6"/>
        <v/>
      </c>
      <c r="B89" s="360" t="str">
        <f t="shared" si="7"/>
        <v>  -   </v>
      </c>
      <c r="C89" s="360" t="str">
        <f t="shared" ref="C89:H89" si="19">C32*$B$63</f>
        <v>  -   </v>
      </c>
      <c r="D89" s="360" t="str">
        <f t="shared" si="19"/>
        <v>  -   </v>
      </c>
      <c r="E89" s="360" t="str">
        <f t="shared" si="19"/>
        <v>  -   </v>
      </c>
      <c r="F89" s="360" t="str">
        <f t="shared" si="19"/>
        <v>  -   </v>
      </c>
      <c r="G89" s="360" t="str">
        <f t="shared" si="19"/>
        <v>  -   </v>
      </c>
      <c r="H89" s="360" t="str">
        <f t="shared" si="19"/>
        <v>  -   </v>
      </c>
    </row>
    <row r="90">
      <c r="A90" s="87"/>
      <c r="B90" s="360"/>
      <c r="C90" s="360"/>
      <c r="D90" s="360"/>
      <c r="E90" s="360"/>
      <c r="F90" s="360"/>
      <c r="G90" s="360"/>
      <c r="H90" s="360"/>
      <c r="J90" s="155"/>
      <c r="K90" s="155"/>
      <c r="L90" s="155"/>
    </row>
    <row r="91">
      <c r="A91" s="360" t="str">
        <f t="shared" ref="A91:A116" si="20">A34</f>
        <v> Fruit  &amp; Vegetables Crop Production Details</v>
      </c>
      <c r="B91" s="360"/>
      <c r="C91" s="360"/>
      <c r="D91" s="360"/>
      <c r="E91" s="360"/>
      <c r="F91" s="360"/>
      <c r="G91" s="360"/>
      <c r="H91" s="360"/>
      <c r="J91" s="155"/>
      <c r="K91" s="155"/>
      <c r="L91" s="155"/>
    </row>
    <row r="92">
      <c r="A92" s="360" t="str">
        <f t="shared" si="20"/>
        <v> Onion</v>
      </c>
      <c r="B92" s="360" t="str">
        <f t="shared" ref="B92:H92" si="21">B35</f>
        <v>  -   </v>
      </c>
      <c r="C92" s="360" t="str">
        <f t="shared" si="21"/>
        <v>  -   </v>
      </c>
      <c r="D92" s="360" t="str">
        <f t="shared" si="21"/>
        <v>  -   </v>
      </c>
      <c r="E92" s="360" t="str">
        <f t="shared" si="21"/>
        <v>  -   </v>
      </c>
      <c r="F92" s="360" t="str">
        <f t="shared" si="21"/>
        <v>  -   </v>
      </c>
      <c r="G92" s="360" t="str">
        <f t="shared" si="21"/>
        <v>  -   </v>
      </c>
      <c r="H92" s="360" t="str">
        <f t="shared" si="21"/>
        <v>  -   </v>
      </c>
      <c r="J92" s="155"/>
      <c r="K92" s="155"/>
      <c r="L92" s="155"/>
    </row>
    <row r="93">
      <c r="A93" s="360" t="str">
        <f t="shared" si="20"/>
        <v> Tomato</v>
      </c>
      <c r="B93" s="360" t="str">
        <f t="shared" ref="B93:H93" si="22">B36</f>
        <v>  -   </v>
      </c>
      <c r="C93" s="360" t="str">
        <f t="shared" si="22"/>
        <v>  -   </v>
      </c>
      <c r="D93" s="360" t="str">
        <f t="shared" si="22"/>
        <v>  -   </v>
      </c>
      <c r="E93" s="360" t="str">
        <f t="shared" si="22"/>
        <v>  -   </v>
      </c>
      <c r="F93" s="360" t="str">
        <f t="shared" si="22"/>
        <v>  -   </v>
      </c>
      <c r="G93" s="360" t="str">
        <f t="shared" si="22"/>
        <v>  -   </v>
      </c>
      <c r="H93" s="360" t="str">
        <f t="shared" si="22"/>
        <v>  -   </v>
      </c>
      <c r="J93" s="155"/>
      <c r="K93" s="155"/>
      <c r="L93" s="155"/>
    </row>
    <row r="94">
      <c r="A94" s="360" t="str">
        <f t="shared" si="20"/>
        <v> Okra</v>
      </c>
      <c r="B94" s="360" t="str">
        <f t="shared" ref="B94:H94" si="23">B37</f>
        <v>  -   </v>
      </c>
      <c r="C94" s="360" t="str">
        <f t="shared" si="23"/>
        <v>  -   </v>
      </c>
      <c r="D94" s="360" t="str">
        <f t="shared" si="23"/>
        <v>  -   </v>
      </c>
      <c r="E94" s="360" t="str">
        <f t="shared" si="23"/>
        <v>  -   </v>
      </c>
      <c r="F94" s="360" t="str">
        <f t="shared" si="23"/>
        <v>  -   </v>
      </c>
      <c r="G94" s="360" t="str">
        <f t="shared" si="23"/>
        <v>  -   </v>
      </c>
      <c r="H94" s="360" t="str">
        <f t="shared" si="23"/>
        <v>  -   </v>
      </c>
      <c r="J94" s="155"/>
      <c r="K94" s="155"/>
      <c r="L94" s="155"/>
    </row>
    <row r="95">
      <c r="A95" s="360" t="str">
        <f t="shared" si="20"/>
        <v> Chilli</v>
      </c>
      <c r="B95" s="360" t="str">
        <f t="shared" ref="B95:H95" si="24">B38</f>
        <v>  -   </v>
      </c>
      <c r="C95" s="360" t="str">
        <f t="shared" si="24"/>
        <v>  -   </v>
      </c>
      <c r="D95" s="360" t="str">
        <f t="shared" si="24"/>
        <v>  -   </v>
      </c>
      <c r="E95" s="360" t="str">
        <f t="shared" si="24"/>
        <v>  -   </v>
      </c>
      <c r="F95" s="360" t="str">
        <f t="shared" si="24"/>
        <v>  -   </v>
      </c>
      <c r="G95" s="360" t="str">
        <f t="shared" si="24"/>
        <v>  -   </v>
      </c>
      <c r="H95" s="360" t="str">
        <f t="shared" si="24"/>
        <v>  -   </v>
      </c>
      <c r="J95" s="155"/>
      <c r="K95" s="155"/>
      <c r="L95" s="155"/>
    </row>
    <row r="96">
      <c r="A96" s="360" t="str">
        <f t="shared" si="20"/>
        <v> Potato</v>
      </c>
      <c r="B96" s="360" t="str">
        <f t="shared" ref="B96:H96" si="25">B39</f>
        <v>  -   </v>
      </c>
      <c r="C96" s="360" t="str">
        <f t="shared" si="25"/>
        <v>  -   </v>
      </c>
      <c r="D96" s="360" t="str">
        <f t="shared" si="25"/>
        <v>  -   </v>
      </c>
      <c r="E96" s="360" t="str">
        <f t="shared" si="25"/>
        <v>  -   </v>
      </c>
      <c r="F96" s="360" t="str">
        <f t="shared" si="25"/>
        <v>  -   </v>
      </c>
      <c r="G96" s="360" t="str">
        <f t="shared" si="25"/>
        <v>  -   </v>
      </c>
      <c r="H96" s="360" t="str">
        <f t="shared" si="25"/>
        <v>  -   </v>
      </c>
      <c r="J96" s="155"/>
      <c r="K96" s="155"/>
      <c r="L96" s="155"/>
    </row>
    <row r="97">
      <c r="A97" s="360" t="str">
        <f t="shared" si="20"/>
        <v/>
      </c>
      <c r="B97" s="360" t="str">
        <f t="shared" ref="B97:H97" si="26">B40</f>
        <v>  -   </v>
      </c>
      <c r="C97" s="360" t="str">
        <f t="shared" si="26"/>
        <v>  -   </v>
      </c>
      <c r="D97" s="360" t="str">
        <f t="shared" si="26"/>
        <v>  -   </v>
      </c>
      <c r="E97" s="360" t="str">
        <f t="shared" si="26"/>
        <v>  -   </v>
      </c>
      <c r="F97" s="360" t="str">
        <f t="shared" si="26"/>
        <v>  -   </v>
      </c>
      <c r="G97" s="360" t="str">
        <f t="shared" si="26"/>
        <v>  -   </v>
      </c>
      <c r="H97" s="360" t="str">
        <f t="shared" si="26"/>
        <v>  -   </v>
      </c>
      <c r="J97" s="155"/>
      <c r="K97" s="155"/>
      <c r="L97" s="155"/>
    </row>
    <row r="98">
      <c r="A98" s="360" t="str">
        <f t="shared" si="20"/>
        <v/>
      </c>
      <c r="B98" s="360" t="str">
        <f t="shared" ref="B98:H98" si="27">B41</f>
        <v>  -   </v>
      </c>
      <c r="C98" s="360" t="str">
        <f t="shared" si="27"/>
        <v>  -   </v>
      </c>
      <c r="D98" s="360" t="str">
        <f t="shared" si="27"/>
        <v>  -   </v>
      </c>
      <c r="E98" s="360" t="str">
        <f t="shared" si="27"/>
        <v>  -   </v>
      </c>
      <c r="F98" s="360" t="str">
        <f t="shared" si="27"/>
        <v>  -   </v>
      </c>
      <c r="G98" s="360" t="str">
        <f t="shared" si="27"/>
        <v>  -   </v>
      </c>
      <c r="H98" s="360" t="str">
        <f t="shared" si="27"/>
        <v>  -   </v>
      </c>
      <c r="J98" s="155"/>
      <c r="K98" s="155"/>
      <c r="L98" s="155"/>
    </row>
    <row r="99">
      <c r="A99" s="360" t="str">
        <f t="shared" si="20"/>
        <v/>
      </c>
      <c r="B99" s="360" t="str">
        <f t="shared" ref="B99:H99" si="28">B42</f>
        <v>  -   </v>
      </c>
      <c r="C99" s="360" t="str">
        <f t="shared" si="28"/>
        <v>  -   </v>
      </c>
      <c r="D99" s="360" t="str">
        <f t="shared" si="28"/>
        <v>  -   </v>
      </c>
      <c r="E99" s="360" t="str">
        <f t="shared" si="28"/>
        <v>  -   </v>
      </c>
      <c r="F99" s="360" t="str">
        <f t="shared" si="28"/>
        <v>  -   </v>
      </c>
      <c r="G99" s="360" t="str">
        <f t="shared" si="28"/>
        <v>  -   </v>
      </c>
      <c r="H99" s="360" t="str">
        <f t="shared" si="28"/>
        <v>  -   </v>
      </c>
      <c r="J99" s="155"/>
      <c r="K99" s="155"/>
      <c r="L99" s="155"/>
    </row>
    <row r="100">
      <c r="A100" s="360" t="str">
        <f t="shared" si="20"/>
        <v/>
      </c>
      <c r="B100" s="360" t="str">
        <f t="shared" ref="B100:H100" si="29">B43</f>
        <v>  -   </v>
      </c>
      <c r="C100" s="360" t="str">
        <f t="shared" si="29"/>
        <v>  -   </v>
      </c>
      <c r="D100" s="360" t="str">
        <f t="shared" si="29"/>
        <v>  -   </v>
      </c>
      <c r="E100" s="360" t="str">
        <f t="shared" si="29"/>
        <v>  -   </v>
      </c>
      <c r="F100" s="360" t="str">
        <f t="shared" si="29"/>
        <v>  -   </v>
      </c>
      <c r="G100" s="360" t="str">
        <f t="shared" si="29"/>
        <v>  -   </v>
      </c>
      <c r="H100" s="360" t="str">
        <f t="shared" si="29"/>
        <v>  -   </v>
      </c>
      <c r="J100" s="155"/>
      <c r="K100" s="155"/>
      <c r="L100" s="155"/>
    </row>
    <row r="101">
      <c r="A101" s="360" t="str">
        <f t="shared" si="20"/>
        <v> Onion</v>
      </c>
      <c r="B101" s="360" t="str">
        <f t="shared" ref="B101:H101" si="30">B44</f>
        <v>  -   </v>
      </c>
      <c r="C101" s="360" t="str">
        <f t="shared" si="30"/>
        <v>  -   </v>
      </c>
      <c r="D101" s="360" t="str">
        <f t="shared" si="30"/>
        <v>  -   </v>
      </c>
      <c r="E101" s="360" t="str">
        <f t="shared" si="30"/>
        <v>  -   </v>
      </c>
      <c r="F101" s="360" t="str">
        <f t="shared" si="30"/>
        <v>  -   </v>
      </c>
      <c r="G101" s="360" t="str">
        <f t="shared" si="30"/>
        <v>  -   </v>
      </c>
      <c r="H101" s="360" t="str">
        <f t="shared" si="30"/>
        <v>  -   </v>
      </c>
      <c r="J101" s="155"/>
      <c r="K101" s="155"/>
      <c r="L101" s="155"/>
    </row>
    <row r="102">
      <c r="A102" s="360" t="str">
        <f t="shared" si="20"/>
        <v> Tomato</v>
      </c>
      <c r="B102" s="360" t="str">
        <f t="shared" ref="B102:H102" si="31">B45</f>
        <v>  -   </v>
      </c>
      <c r="C102" s="360" t="str">
        <f t="shared" si="31"/>
        <v>  -   </v>
      </c>
      <c r="D102" s="360" t="str">
        <f t="shared" si="31"/>
        <v>  -   </v>
      </c>
      <c r="E102" s="360" t="str">
        <f t="shared" si="31"/>
        <v>  -   </v>
      </c>
      <c r="F102" s="360" t="str">
        <f t="shared" si="31"/>
        <v>  -   </v>
      </c>
      <c r="G102" s="360" t="str">
        <f t="shared" si="31"/>
        <v>  -   </v>
      </c>
      <c r="H102" s="360" t="str">
        <f t="shared" si="31"/>
        <v>  -   </v>
      </c>
      <c r="J102" s="155"/>
      <c r="K102" s="155"/>
      <c r="L102" s="155"/>
    </row>
    <row r="103">
      <c r="A103" s="360" t="str">
        <f t="shared" si="20"/>
        <v> Okra</v>
      </c>
      <c r="B103" s="360" t="str">
        <f t="shared" ref="B103:H103" si="32">B46</f>
        <v>  -   </v>
      </c>
      <c r="C103" s="360" t="str">
        <f t="shared" si="32"/>
        <v>  -   </v>
      </c>
      <c r="D103" s="360" t="str">
        <f t="shared" si="32"/>
        <v>  -   </v>
      </c>
      <c r="E103" s="360" t="str">
        <f t="shared" si="32"/>
        <v>  -   </v>
      </c>
      <c r="F103" s="360" t="str">
        <f t="shared" si="32"/>
        <v>  -   </v>
      </c>
      <c r="G103" s="360" t="str">
        <f t="shared" si="32"/>
        <v>  -   </v>
      </c>
      <c r="H103" s="360" t="str">
        <f t="shared" si="32"/>
        <v>  -   </v>
      </c>
      <c r="J103" s="155"/>
      <c r="K103" s="155"/>
      <c r="L103" s="155"/>
    </row>
    <row r="104">
      <c r="A104" s="360" t="str">
        <f t="shared" si="20"/>
        <v> Chilli</v>
      </c>
      <c r="B104" s="360" t="str">
        <f t="shared" ref="B104:H104" si="33">B47</f>
        <v>  -   </v>
      </c>
      <c r="C104" s="360" t="str">
        <f t="shared" si="33"/>
        <v>  -   </v>
      </c>
      <c r="D104" s="360" t="str">
        <f t="shared" si="33"/>
        <v>  -   </v>
      </c>
      <c r="E104" s="360" t="str">
        <f t="shared" si="33"/>
        <v>  -   </v>
      </c>
      <c r="F104" s="360" t="str">
        <f t="shared" si="33"/>
        <v>  -   </v>
      </c>
      <c r="G104" s="360" t="str">
        <f t="shared" si="33"/>
        <v>  -   </v>
      </c>
      <c r="H104" s="360" t="str">
        <f t="shared" si="33"/>
        <v>  -   </v>
      </c>
      <c r="J104" s="155"/>
      <c r="K104" s="155"/>
      <c r="L104" s="155"/>
    </row>
    <row r="105">
      <c r="A105" s="360" t="str">
        <f t="shared" si="20"/>
        <v> Brinjal</v>
      </c>
      <c r="B105" s="360" t="str">
        <f t="shared" ref="B105:H105" si="34">B48</f>
        <v>  -   </v>
      </c>
      <c r="C105" s="360" t="str">
        <f t="shared" si="34"/>
        <v>  -   </v>
      </c>
      <c r="D105" s="360" t="str">
        <f t="shared" si="34"/>
        <v>  -   </v>
      </c>
      <c r="E105" s="360" t="str">
        <f t="shared" si="34"/>
        <v>  -   </v>
      </c>
      <c r="F105" s="360" t="str">
        <f t="shared" si="34"/>
        <v>  -   </v>
      </c>
      <c r="G105" s="360" t="str">
        <f t="shared" si="34"/>
        <v>  -   </v>
      </c>
      <c r="H105" s="360" t="str">
        <f t="shared" si="34"/>
        <v>  -   </v>
      </c>
      <c r="J105" s="155"/>
      <c r="K105" s="155"/>
      <c r="L105" s="155"/>
    </row>
    <row r="106">
      <c r="A106" s="360" t="str">
        <f t="shared" si="20"/>
        <v/>
      </c>
      <c r="B106" s="360" t="str">
        <f t="shared" ref="B106:H106" si="35">B49</f>
        <v>  -   </v>
      </c>
      <c r="C106" s="360" t="str">
        <f t="shared" si="35"/>
        <v>  -   </v>
      </c>
      <c r="D106" s="360" t="str">
        <f t="shared" si="35"/>
        <v>  -   </v>
      </c>
      <c r="E106" s="360" t="str">
        <f t="shared" si="35"/>
        <v>  -   </v>
      </c>
      <c r="F106" s="360" t="str">
        <f t="shared" si="35"/>
        <v>  -   </v>
      </c>
      <c r="G106" s="360" t="str">
        <f t="shared" si="35"/>
        <v>  -   </v>
      </c>
      <c r="H106" s="360" t="str">
        <f t="shared" si="35"/>
        <v>  -   </v>
      </c>
      <c r="J106" s="155"/>
      <c r="K106" s="155"/>
      <c r="L106" s="155"/>
    </row>
    <row r="107">
      <c r="A107" s="360" t="str">
        <f t="shared" si="20"/>
        <v/>
      </c>
      <c r="B107" s="360" t="str">
        <f t="shared" ref="B107:H107" si="36">B50</f>
        <v>  -   </v>
      </c>
      <c r="C107" s="360" t="str">
        <f t="shared" si="36"/>
        <v>  -   </v>
      </c>
      <c r="D107" s="360" t="str">
        <f t="shared" si="36"/>
        <v>  -   </v>
      </c>
      <c r="E107" s="360" t="str">
        <f t="shared" si="36"/>
        <v>  -   </v>
      </c>
      <c r="F107" s="360" t="str">
        <f t="shared" si="36"/>
        <v>  -   </v>
      </c>
      <c r="G107" s="360" t="str">
        <f t="shared" si="36"/>
        <v>  -   </v>
      </c>
      <c r="H107" s="360" t="str">
        <f t="shared" si="36"/>
        <v>  -   </v>
      </c>
      <c r="J107" s="155"/>
      <c r="K107" s="155"/>
      <c r="L107" s="155"/>
    </row>
    <row r="108">
      <c r="A108" s="360" t="str">
        <f t="shared" si="20"/>
        <v/>
      </c>
      <c r="B108" s="360" t="str">
        <f t="shared" ref="B108:H108" si="37">B51</f>
        <v>  -   </v>
      </c>
      <c r="C108" s="360" t="str">
        <f t="shared" si="37"/>
        <v>  -   </v>
      </c>
      <c r="D108" s="360" t="str">
        <f t="shared" si="37"/>
        <v>  -   </v>
      </c>
      <c r="E108" s="360" t="str">
        <f t="shared" si="37"/>
        <v>  -   </v>
      </c>
      <c r="F108" s="360" t="str">
        <f t="shared" si="37"/>
        <v>  -   </v>
      </c>
      <c r="G108" s="360" t="str">
        <f t="shared" si="37"/>
        <v>  -   </v>
      </c>
      <c r="H108" s="360" t="str">
        <f t="shared" si="37"/>
        <v>  -   </v>
      </c>
      <c r="J108" s="155"/>
      <c r="K108" s="155"/>
      <c r="L108" s="155"/>
    </row>
    <row r="109">
      <c r="A109" s="360" t="str">
        <f t="shared" si="20"/>
        <v/>
      </c>
      <c r="B109" s="360" t="str">
        <f t="shared" ref="B109:H109" si="38">B52</f>
        <v>  -   </v>
      </c>
      <c r="C109" s="360" t="str">
        <f t="shared" si="38"/>
        <v>  -   </v>
      </c>
      <c r="D109" s="360" t="str">
        <f t="shared" si="38"/>
        <v>  -   </v>
      </c>
      <c r="E109" s="360" t="str">
        <f t="shared" si="38"/>
        <v>  -   </v>
      </c>
      <c r="F109" s="360" t="str">
        <f t="shared" si="38"/>
        <v>  -   </v>
      </c>
      <c r="G109" s="360" t="str">
        <f t="shared" si="38"/>
        <v>  -   </v>
      </c>
      <c r="H109" s="360" t="str">
        <f t="shared" si="38"/>
        <v>  -   </v>
      </c>
      <c r="J109" s="155"/>
      <c r="K109" s="155"/>
      <c r="L109" s="155"/>
    </row>
    <row r="110">
      <c r="A110" s="360" t="str">
        <f t="shared" si="20"/>
        <v/>
      </c>
      <c r="B110" s="360"/>
      <c r="C110" s="360"/>
      <c r="D110" s="360"/>
      <c r="E110" s="360"/>
      <c r="F110" s="360"/>
      <c r="G110" s="360"/>
      <c r="H110" s="360"/>
      <c r="J110" s="155"/>
      <c r="K110" s="155"/>
      <c r="L110" s="155"/>
    </row>
    <row r="111">
      <c r="A111" s="360" t="str">
        <f t="shared" si="20"/>
        <v/>
      </c>
      <c r="B111" s="360"/>
      <c r="C111" s="360"/>
      <c r="D111" s="360"/>
      <c r="E111" s="360"/>
      <c r="F111" s="360"/>
      <c r="G111" s="360"/>
      <c r="H111" s="360"/>
      <c r="J111" s="155"/>
      <c r="K111" s="155"/>
      <c r="L111" s="155"/>
    </row>
    <row r="112">
      <c r="A112" s="360" t="str">
        <f t="shared" si="20"/>
        <v/>
      </c>
      <c r="B112" s="360"/>
      <c r="C112" s="360"/>
      <c r="D112" s="360"/>
      <c r="E112" s="360"/>
      <c r="F112" s="360"/>
      <c r="G112" s="360"/>
      <c r="H112" s="360"/>
      <c r="J112" s="155"/>
      <c r="K112" s="155"/>
      <c r="L112" s="155"/>
    </row>
    <row r="113">
      <c r="A113" s="360" t="str">
        <f t="shared" si="20"/>
        <v> Pomegranate</v>
      </c>
      <c r="B113" s="360" t="str">
        <f t="shared" ref="B113:H113" si="39">B56</f>
        <v>  -   </v>
      </c>
      <c r="C113" s="360" t="str">
        <f t="shared" si="39"/>
        <v>  -   </v>
      </c>
      <c r="D113" s="360" t="str">
        <f t="shared" si="39"/>
        <v>  -   </v>
      </c>
      <c r="E113" s="360" t="str">
        <f t="shared" si="39"/>
        <v>  -   </v>
      </c>
      <c r="F113" s="360" t="str">
        <f t="shared" si="39"/>
        <v>  -   </v>
      </c>
      <c r="G113" s="360" t="str">
        <f t="shared" si="39"/>
        <v>  -   </v>
      </c>
      <c r="H113" s="360" t="str">
        <f t="shared" si="39"/>
        <v>  -   </v>
      </c>
      <c r="J113" s="155"/>
      <c r="K113" s="155"/>
      <c r="L113" s="155"/>
    </row>
    <row r="114">
      <c r="A114" s="360" t="str">
        <f t="shared" si="20"/>
        <v> Custard Apple</v>
      </c>
      <c r="B114" s="360" t="str">
        <f t="shared" ref="B114:H114" si="40">B57</f>
        <v>  -   </v>
      </c>
      <c r="C114" s="360" t="str">
        <f t="shared" si="40"/>
        <v>  -   </v>
      </c>
      <c r="D114" s="360" t="str">
        <f t="shared" si="40"/>
        <v>  -   </v>
      </c>
      <c r="E114" s="360" t="str">
        <f t="shared" si="40"/>
        <v>  -   </v>
      </c>
      <c r="F114" s="360" t="str">
        <f t="shared" si="40"/>
        <v>  -   </v>
      </c>
      <c r="G114" s="360" t="str">
        <f t="shared" si="40"/>
        <v>  -   </v>
      </c>
      <c r="H114" s="360" t="str">
        <f t="shared" si="40"/>
        <v>  -   </v>
      </c>
      <c r="J114" s="155"/>
      <c r="K114" s="155"/>
      <c r="L114" s="155"/>
    </row>
    <row r="115">
      <c r="A115" s="360" t="str">
        <f t="shared" si="20"/>
        <v> Guava</v>
      </c>
      <c r="B115" s="360" t="str">
        <f t="shared" ref="B115:H115" si="41">B58</f>
        <v>  -   </v>
      </c>
      <c r="C115" s="360" t="str">
        <f t="shared" si="41"/>
        <v>  -   </v>
      </c>
      <c r="D115" s="360" t="str">
        <f t="shared" si="41"/>
        <v>  -   </v>
      </c>
      <c r="E115" s="360" t="str">
        <f t="shared" si="41"/>
        <v>  -   </v>
      </c>
      <c r="F115" s="360" t="str">
        <f t="shared" si="41"/>
        <v>  -   </v>
      </c>
      <c r="G115" s="360" t="str">
        <f t="shared" si="41"/>
        <v>  -   </v>
      </c>
      <c r="H115" s="360" t="str">
        <f t="shared" si="41"/>
        <v>  -   </v>
      </c>
      <c r="J115" s="155"/>
      <c r="K115" s="155"/>
      <c r="L115" s="155"/>
    </row>
    <row r="116">
      <c r="A116" s="360" t="str">
        <f t="shared" si="20"/>
        <v> Citrus</v>
      </c>
      <c r="B116" s="360" t="str">
        <f t="shared" ref="B116:H116" si="42">B59</f>
        <v>  -   </v>
      </c>
      <c r="C116" s="360" t="str">
        <f t="shared" si="42"/>
        <v>  -   </v>
      </c>
      <c r="D116" s="360" t="str">
        <f t="shared" si="42"/>
        <v>  -   </v>
      </c>
      <c r="E116" s="360" t="str">
        <f t="shared" si="42"/>
        <v>  -   </v>
      </c>
      <c r="F116" s="360" t="str">
        <f t="shared" si="42"/>
        <v>  -   </v>
      </c>
      <c r="G116" s="360" t="str">
        <f t="shared" si="42"/>
        <v>  -   </v>
      </c>
      <c r="H116" s="360" t="str">
        <f t="shared" si="42"/>
        <v>  -   </v>
      </c>
      <c r="J116" s="155"/>
      <c r="K116" s="155"/>
      <c r="L116" s="155"/>
    </row>
    <row r="117">
      <c r="A117" s="87"/>
      <c r="B117" s="360"/>
      <c r="C117" s="360"/>
      <c r="D117" s="360"/>
      <c r="E117" s="360"/>
      <c r="F117" s="360"/>
      <c r="G117" s="360"/>
      <c r="H117" s="360"/>
      <c r="J117" s="155"/>
      <c r="K117" s="155"/>
      <c r="L117" s="155"/>
    </row>
    <row r="118">
      <c r="A118" s="87"/>
      <c r="B118" s="360"/>
      <c r="C118" s="360"/>
      <c r="D118" s="360"/>
      <c r="E118" s="360"/>
      <c r="F118" s="360"/>
      <c r="G118" s="360"/>
      <c r="H118" s="360"/>
      <c r="J118" s="155"/>
      <c r="K118" s="155"/>
      <c r="L118" s="155"/>
    </row>
    <row r="119">
      <c r="A119" s="90" t="s">
        <v>618</v>
      </c>
      <c r="B119" s="87"/>
      <c r="C119" s="87"/>
      <c r="D119" s="87"/>
      <c r="E119" s="87"/>
      <c r="F119" s="87"/>
      <c r="G119" s="87"/>
      <c r="H119" s="87"/>
    </row>
    <row r="120">
      <c r="A120" s="360" t="str">
        <f t="shared" ref="A120:A141" si="44">A68</f>
        <v> Soybean</v>
      </c>
      <c r="B120" s="361" t="str">
        <f t="shared" ref="B120:H120" si="43">B68-(B68*$G$6)</f>
        <v>  8,707.32 </v>
      </c>
      <c r="C120" s="361" t="str">
        <f t="shared" si="43"/>
        <v>  9,578.05 </v>
      </c>
      <c r="D120" s="361" t="str">
        <f t="shared" si="43"/>
        <v>  10,448.78 </v>
      </c>
      <c r="E120" s="361" t="str">
        <f t="shared" si="43"/>
        <v>  11,319.52 </v>
      </c>
      <c r="F120" s="361" t="str">
        <f t="shared" si="43"/>
        <v>  12,190.25 </v>
      </c>
      <c r="G120" s="361" t="str">
        <f t="shared" si="43"/>
        <v>  13,060.98 </v>
      </c>
      <c r="H120" s="361" t="str">
        <f t="shared" si="43"/>
        <v>  13,931.71 </v>
      </c>
    </row>
    <row r="121">
      <c r="A121" s="360" t="str">
        <f t="shared" si="44"/>
        <v> Red Gram/Tur</v>
      </c>
      <c r="B121" s="361" t="str">
        <f t="shared" ref="B121:H121" si="45">B69-(B69*$G$6)</f>
        <v>  1,523.78 </v>
      </c>
      <c r="C121" s="361" t="str">
        <f t="shared" si="45"/>
        <v>  1,676.16 </v>
      </c>
      <c r="D121" s="361" t="str">
        <f t="shared" si="45"/>
        <v>  1,828.54 </v>
      </c>
      <c r="E121" s="361" t="str">
        <f t="shared" si="45"/>
        <v>  1,980.92 </v>
      </c>
      <c r="F121" s="361" t="str">
        <f t="shared" si="45"/>
        <v>  2,133.29 </v>
      </c>
      <c r="G121" s="361" t="str">
        <f t="shared" si="45"/>
        <v>  2,285.67 </v>
      </c>
      <c r="H121" s="361" t="str">
        <f t="shared" si="45"/>
        <v>  2,438.05 </v>
      </c>
    </row>
    <row r="122">
      <c r="A122" s="360" t="str">
        <f t="shared" si="44"/>
        <v> Paddy/Rice</v>
      </c>
      <c r="B122" s="361" t="str">
        <f t="shared" ref="B122:H122" si="46">B70-(B70*$G$6)</f>
        <v>  -   </v>
      </c>
      <c r="C122" s="361" t="str">
        <f t="shared" si="46"/>
        <v>  -   </v>
      </c>
      <c r="D122" s="361" t="str">
        <f t="shared" si="46"/>
        <v>  -   </v>
      </c>
      <c r="E122" s="361" t="str">
        <f t="shared" si="46"/>
        <v>  -   </v>
      </c>
      <c r="F122" s="361" t="str">
        <f t="shared" si="46"/>
        <v>  -   </v>
      </c>
      <c r="G122" s="361" t="str">
        <f t="shared" si="46"/>
        <v>  -   </v>
      </c>
      <c r="H122" s="361" t="str">
        <f t="shared" si="46"/>
        <v>  -   </v>
      </c>
    </row>
    <row r="123">
      <c r="A123" s="360" t="str">
        <f t="shared" si="44"/>
        <v> Green Gram/ Moong</v>
      </c>
      <c r="B123" s="361" t="str">
        <f t="shared" ref="B123:H123" si="47">B71-(B71*$G$6)</f>
        <v>  -   </v>
      </c>
      <c r="C123" s="361" t="str">
        <f t="shared" si="47"/>
        <v>  -   </v>
      </c>
      <c r="D123" s="361" t="str">
        <f t="shared" si="47"/>
        <v>  -   </v>
      </c>
      <c r="E123" s="361" t="str">
        <f t="shared" si="47"/>
        <v>  -   </v>
      </c>
      <c r="F123" s="361" t="str">
        <f t="shared" si="47"/>
        <v>  -   </v>
      </c>
      <c r="G123" s="361" t="str">
        <f t="shared" si="47"/>
        <v>  -   </v>
      </c>
      <c r="H123" s="361" t="str">
        <f t="shared" si="47"/>
        <v>  -   </v>
      </c>
    </row>
    <row r="124">
      <c r="A124" s="360" t="str">
        <f t="shared" si="44"/>
        <v> Maize</v>
      </c>
      <c r="B124" s="361" t="str">
        <f t="shared" ref="B124:H124" si="48">B72-(B72*$G$6)</f>
        <v>  -   </v>
      </c>
      <c r="C124" s="361" t="str">
        <f t="shared" si="48"/>
        <v>  -   </v>
      </c>
      <c r="D124" s="361" t="str">
        <f t="shared" si="48"/>
        <v>  -   </v>
      </c>
      <c r="E124" s="361" t="str">
        <f t="shared" si="48"/>
        <v>  -   </v>
      </c>
      <c r="F124" s="361" t="str">
        <f t="shared" si="48"/>
        <v>  -   </v>
      </c>
      <c r="G124" s="361" t="str">
        <f t="shared" si="48"/>
        <v>  -   </v>
      </c>
      <c r="H124" s="361" t="str">
        <f t="shared" si="48"/>
        <v>  -   </v>
      </c>
    </row>
    <row r="125">
      <c r="A125" s="360" t="str">
        <f t="shared" si="44"/>
        <v> Black Gram/Udid</v>
      </c>
      <c r="B125" s="361" t="str">
        <f t="shared" ref="B125:H125" si="49">B73-(B73*$G$6)</f>
        <v>  -   </v>
      </c>
      <c r="C125" s="361" t="str">
        <f t="shared" si="49"/>
        <v>  -   </v>
      </c>
      <c r="D125" s="361" t="str">
        <f t="shared" si="49"/>
        <v>  -   </v>
      </c>
      <c r="E125" s="361" t="str">
        <f t="shared" si="49"/>
        <v>  -   </v>
      </c>
      <c r="F125" s="361" t="str">
        <f t="shared" si="49"/>
        <v>  -   </v>
      </c>
      <c r="G125" s="361" t="str">
        <f t="shared" si="49"/>
        <v>  -   </v>
      </c>
      <c r="H125" s="361" t="str">
        <f t="shared" si="49"/>
        <v>  -   </v>
      </c>
    </row>
    <row r="126">
      <c r="A126" s="360" t="str">
        <f t="shared" si="44"/>
        <v> Bajra</v>
      </c>
      <c r="B126" s="361" t="str">
        <f t="shared" ref="B126:H126" si="50">B74-(B74*$G$6)</f>
        <v>  -   </v>
      </c>
      <c r="C126" s="361" t="str">
        <f t="shared" si="50"/>
        <v>  -   </v>
      </c>
      <c r="D126" s="361" t="str">
        <f t="shared" si="50"/>
        <v>  -   </v>
      </c>
      <c r="E126" s="361" t="str">
        <f t="shared" si="50"/>
        <v>  -   </v>
      </c>
      <c r="F126" s="361" t="str">
        <f t="shared" si="50"/>
        <v>  -   </v>
      </c>
      <c r="G126" s="361" t="str">
        <f t="shared" si="50"/>
        <v>  -   </v>
      </c>
      <c r="H126" s="361" t="str">
        <f t="shared" si="50"/>
        <v>  -   </v>
      </c>
    </row>
    <row r="127">
      <c r="A127" s="360" t="str">
        <f t="shared" si="44"/>
        <v> Jawar</v>
      </c>
      <c r="B127" s="361" t="str">
        <f t="shared" ref="B127:H127" si="51">B75-(B75*$G$6)</f>
        <v>  -   </v>
      </c>
      <c r="C127" s="361" t="str">
        <f t="shared" si="51"/>
        <v>  -   </v>
      </c>
      <c r="D127" s="361" t="str">
        <f t="shared" si="51"/>
        <v>  -   </v>
      </c>
      <c r="E127" s="361" t="str">
        <f t="shared" si="51"/>
        <v>  -   </v>
      </c>
      <c r="F127" s="361" t="str">
        <f t="shared" si="51"/>
        <v>  -   </v>
      </c>
      <c r="G127" s="361" t="str">
        <f t="shared" si="51"/>
        <v>  -   </v>
      </c>
      <c r="H127" s="361" t="str">
        <f t="shared" si="51"/>
        <v>  -   </v>
      </c>
    </row>
    <row r="128">
      <c r="A128" s="360" t="str">
        <f t="shared" si="44"/>
        <v> Sunflower</v>
      </c>
      <c r="B128" s="361" t="str">
        <f t="shared" ref="B128:H128" si="52">B76-(B76*$G$6)</f>
        <v>  -   </v>
      </c>
      <c r="C128" s="361" t="str">
        <f t="shared" si="52"/>
        <v>  -   </v>
      </c>
      <c r="D128" s="361" t="str">
        <f t="shared" si="52"/>
        <v>  -   </v>
      </c>
      <c r="E128" s="361" t="str">
        <f t="shared" si="52"/>
        <v>  -   </v>
      </c>
      <c r="F128" s="361" t="str">
        <f t="shared" si="52"/>
        <v>  -   </v>
      </c>
      <c r="G128" s="361" t="str">
        <f t="shared" si="52"/>
        <v>  -   </v>
      </c>
      <c r="H128" s="361" t="str">
        <f t="shared" si="52"/>
        <v>  -   </v>
      </c>
    </row>
    <row r="129">
      <c r="A129" s="360" t="str">
        <f t="shared" si="44"/>
        <v> Wheat</v>
      </c>
      <c r="B129" s="361" t="str">
        <f t="shared" ref="B129:H129" si="53">B77-(B77*$G$6)</f>
        <v>  -   </v>
      </c>
      <c r="C129" s="361" t="str">
        <f t="shared" si="53"/>
        <v>  -   </v>
      </c>
      <c r="D129" s="361" t="str">
        <f t="shared" si="53"/>
        <v>  -   </v>
      </c>
      <c r="E129" s="361" t="str">
        <f t="shared" si="53"/>
        <v>  -   </v>
      </c>
      <c r="F129" s="361" t="str">
        <f t="shared" si="53"/>
        <v>  -   </v>
      </c>
      <c r="G129" s="361" t="str">
        <f t="shared" si="53"/>
        <v>  -   </v>
      </c>
      <c r="H129" s="361" t="str">
        <f t="shared" si="53"/>
        <v>  -   </v>
      </c>
    </row>
    <row r="130">
      <c r="A130" s="360" t="str">
        <f t="shared" si="44"/>
        <v> Bengal Gram/Channa</v>
      </c>
      <c r="B130" s="361" t="str">
        <f t="shared" ref="B130:H130" si="54">B78-(B78*$G$6)</f>
        <v>  4,317.38 </v>
      </c>
      <c r="C130" s="361" t="str">
        <f t="shared" si="54"/>
        <v>  4,749.12 </v>
      </c>
      <c r="D130" s="361" t="str">
        <f t="shared" si="54"/>
        <v>  5,180.86 </v>
      </c>
      <c r="E130" s="361" t="str">
        <f t="shared" si="54"/>
        <v>  5,612.59 </v>
      </c>
      <c r="F130" s="361" t="str">
        <f t="shared" si="54"/>
        <v>  6,044.33 </v>
      </c>
      <c r="G130" s="361" t="str">
        <f t="shared" si="54"/>
        <v>  6,476.07 </v>
      </c>
      <c r="H130" s="361" t="str">
        <f t="shared" si="54"/>
        <v>  6,907.81 </v>
      </c>
    </row>
    <row r="131">
      <c r="A131" s="360" t="str">
        <f t="shared" si="44"/>
        <v> Jawar</v>
      </c>
      <c r="B131" s="361" t="str">
        <f t="shared" ref="B131:H131" si="55">B79-(B79*$G$6)</f>
        <v>  -   </v>
      </c>
      <c r="C131" s="361" t="str">
        <f t="shared" si="55"/>
        <v>  -   </v>
      </c>
      <c r="D131" s="361" t="str">
        <f t="shared" si="55"/>
        <v>  -   </v>
      </c>
      <c r="E131" s="361" t="str">
        <f t="shared" si="55"/>
        <v>  -   </v>
      </c>
      <c r="F131" s="361" t="str">
        <f t="shared" si="55"/>
        <v>  -   </v>
      </c>
      <c r="G131" s="361" t="str">
        <f t="shared" si="55"/>
        <v>  -   </v>
      </c>
      <c r="H131" s="361" t="str">
        <f t="shared" si="55"/>
        <v>  -   </v>
      </c>
    </row>
    <row r="132">
      <c r="A132" s="360" t="str">
        <f t="shared" si="44"/>
        <v> Maize</v>
      </c>
      <c r="B132" s="361" t="str">
        <f t="shared" ref="B132:H132" si="56">B80-(B80*$G$6)</f>
        <v>  -   </v>
      </c>
      <c r="C132" s="361" t="str">
        <f t="shared" si="56"/>
        <v>  -   </v>
      </c>
      <c r="D132" s="361" t="str">
        <f t="shared" si="56"/>
        <v>  -   </v>
      </c>
      <c r="E132" s="361" t="str">
        <f t="shared" si="56"/>
        <v>  -   </v>
      </c>
      <c r="F132" s="361" t="str">
        <f t="shared" si="56"/>
        <v>  -   </v>
      </c>
      <c r="G132" s="361" t="str">
        <f t="shared" si="56"/>
        <v>  -   </v>
      </c>
      <c r="H132" s="361" t="str">
        <f t="shared" si="56"/>
        <v>  -   </v>
      </c>
    </row>
    <row r="133">
      <c r="A133" s="360" t="str">
        <f t="shared" si="44"/>
        <v> Safflower</v>
      </c>
      <c r="B133" s="361" t="str">
        <f t="shared" ref="B133:H133" si="57">B81-(B81*$G$6)</f>
        <v>  -   </v>
      </c>
      <c r="C133" s="361" t="str">
        <f t="shared" si="57"/>
        <v>  -   </v>
      </c>
      <c r="D133" s="361" t="str">
        <f t="shared" si="57"/>
        <v>  -   </v>
      </c>
      <c r="E133" s="361" t="str">
        <f t="shared" si="57"/>
        <v>  -   </v>
      </c>
      <c r="F133" s="361" t="str">
        <f t="shared" si="57"/>
        <v>  -   </v>
      </c>
      <c r="G133" s="361" t="str">
        <f t="shared" si="57"/>
        <v>  -   </v>
      </c>
      <c r="H133" s="361" t="str">
        <f t="shared" si="57"/>
        <v>  -   </v>
      </c>
    </row>
    <row r="134">
      <c r="A134" s="360" t="str">
        <f t="shared" si="44"/>
        <v/>
      </c>
      <c r="B134" s="361" t="str">
        <f t="shared" ref="B134:H134" si="58">B82-(B82*$G$6)</f>
        <v>  -   </v>
      </c>
      <c r="C134" s="361" t="str">
        <f t="shared" si="58"/>
        <v>  -   </v>
      </c>
      <c r="D134" s="361" t="str">
        <f t="shared" si="58"/>
        <v>  -   </v>
      </c>
      <c r="E134" s="361" t="str">
        <f t="shared" si="58"/>
        <v>  -   </v>
      </c>
      <c r="F134" s="361" t="str">
        <f t="shared" si="58"/>
        <v>  -   </v>
      </c>
      <c r="G134" s="361" t="str">
        <f t="shared" si="58"/>
        <v>  -   </v>
      </c>
      <c r="H134" s="361" t="str">
        <f t="shared" si="58"/>
        <v>  -   </v>
      </c>
    </row>
    <row r="135">
      <c r="A135" s="360" t="str">
        <f t="shared" si="44"/>
        <v/>
      </c>
      <c r="B135" s="361" t="str">
        <f t="shared" ref="B135:H135" si="59">B83-(B83*$G$6)</f>
        <v>  -   </v>
      </c>
      <c r="C135" s="361" t="str">
        <f t="shared" si="59"/>
        <v>  -   </v>
      </c>
      <c r="D135" s="361" t="str">
        <f t="shared" si="59"/>
        <v>  -   </v>
      </c>
      <c r="E135" s="361" t="str">
        <f t="shared" si="59"/>
        <v>  -   </v>
      </c>
      <c r="F135" s="361" t="str">
        <f t="shared" si="59"/>
        <v>  -   </v>
      </c>
      <c r="G135" s="361" t="str">
        <f t="shared" si="59"/>
        <v>  -   </v>
      </c>
      <c r="H135" s="361" t="str">
        <f t="shared" si="59"/>
        <v>  -   </v>
      </c>
    </row>
    <row r="136">
      <c r="A136" s="360" t="str">
        <f t="shared" si="44"/>
        <v/>
      </c>
      <c r="B136" s="361" t="str">
        <f t="shared" ref="B136:H136" si="60">B84-(B84*$G$6)</f>
        <v>  -   </v>
      </c>
      <c r="C136" s="361" t="str">
        <f t="shared" si="60"/>
        <v>  -   </v>
      </c>
      <c r="D136" s="361" t="str">
        <f t="shared" si="60"/>
        <v>  -   </v>
      </c>
      <c r="E136" s="361" t="str">
        <f t="shared" si="60"/>
        <v>  -   </v>
      </c>
      <c r="F136" s="361" t="str">
        <f t="shared" si="60"/>
        <v>  -   </v>
      </c>
      <c r="G136" s="361" t="str">
        <f t="shared" si="60"/>
        <v>  -   </v>
      </c>
      <c r="H136" s="361" t="str">
        <f t="shared" si="60"/>
        <v>  -   </v>
      </c>
    </row>
    <row r="137">
      <c r="A137" s="360" t="str">
        <f t="shared" si="44"/>
        <v> Groundnut</v>
      </c>
      <c r="B137" s="361" t="str">
        <f t="shared" ref="B137:H137" si="61">B85-(B85*$G$6)</f>
        <v>  -   </v>
      </c>
      <c r="C137" s="361" t="str">
        <f t="shared" si="61"/>
        <v>  -   </v>
      </c>
      <c r="D137" s="361" t="str">
        <f t="shared" si="61"/>
        <v>  -   </v>
      </c>
      <c r="E137" s="361" t="str">
        <f t="shared" si="61"/>
        <v>  -   </v>
      </c>
      <c r="F137" s="361" t="str">
        <f t="shared" si="61"/>
        <v>  -   </v>
      </c>
      <c r="G137" s="361" t="str">
        <f t="shared" si="61"/>
        <v>  -   </v>
      </c>
      <c r="H137" s="361" t="str">
        <f t="shared" si="61"/>
        <v>  -   </v>
      </c>
    </row>
    <row r="138">
      <c r="A138" s="360" t="str">
        <f t="shared" si="44"/>
        <v/>
      </c>
      <c r="B138" s="361" t="str">
        <f t="shared" ref="B138:H138" si="62">B86-(B86*$G$6)</f>
        <v>  -   </v>
      </c>
      <c r="C138" s="361" t="str">
        <f t="shared" si="62"/>
        <v>  -   </v>
      </c>
      <c r="D138" s="361" t="str">
        <f t="shared" si="62"/>
        <v>  -   </v>
      </c>
      <c r="E138" s="361" t="str">
        <f t="shared" si="62"/>
        <v>  -   </v>
      </c>
      <c r="F138" s="361" t="str">
        <f t="shared" si="62"/>
        <v>  -   </v>
      </c>
      <c r="G138" s="361" t="str">
        <f t="shared" si="62"/>
        <v>  -   </v>
      </c>
      <c r="H138" s="361" t="str">
        <f t="shared" si="62"/>
        <v>  -   </v>
      </c>
    </row>
    <row r="139">
      <c r="A139" s="360" t="str">
        <f t="shared" si="44"/>
        <v/>
      </c>
      <c r="B139" s="361" t="str">
        <f t="shared" ref="B139:H139" si="63">B87-(B87*$G$6)</f>
        <v>  -   </v>
      </c>
      <c r="C139" s="361" t="str">
        <f t="shared" si="63"/>
        <v>  -   </v>
      </c>
      <c r="D139" s="361" t="str">
        <f t="shared" si="63"/>
        <v>  -   </v>
      </c>
      <c r="E139" s="361" t="str">
        <f t="shared" si="63"/>
        <v>  -   </v>
      </c>
      <c r="F139" s="361" t="str">
        <f t="shared" si="63"/>
        <v>  -   </v>
      </c>
      <c r="G139" s="361" t="str">
        <f t="shared" si="63"/>
        <v>  -   </v>
      </c>
      <c r="H139" s="361" t="str">
        <f t="shared" si="63"/>
        <v>  -   </v>
      </c>
    </row>
    <row r="140">
      <c r="A140" s="360" t="str">
        <f t="shared" si="44"/>
        <v/>
      </c>
      <c r="B140" s="361" t="str">
        <f t="shared" ref="B140:H140" si="64">B88-(B88*$G$6)</f>
        <v>  -   </v>
      </c>
      <c r="C140" s="361" t="str">
        <f t="shared" si="64"/>
        <v>  -   </v>
      </c>
      <c r="D140" s="361" t="str">
        <f t="shared" si="64"/>
        <v>  -   </v>
      </c>
      <c r="E140" s="361" t="str">
        <f t="shared" si="64"/>
        <v>  -   </v>
      </c>
      <c r="F140" s="361" t="str">
        <f t="shared" si="64"/>
        <v>  -   </v>
      </c>
      <c r="G140" s="361" t="str">
        <f t="shared" si="64"/>
        <v>  -   </v>
      </c>
      <c r="H140" s="361" t="str">
        <f t="shared" si="64"/>
        <v>  -   </v>
      </c>
    </row>
    <row r="141">
      <c r="A141" s="360" t="str">
        <f t="shared" si="44"/>
        <v/>
      </c>
      <c r="B141" s="361" t="str">
        <f t="shared" ref="B141:H141" si="65">B89-(B89*$G$6)</f>
        <v>  -   </v>
      </c>
      <c r="C141" s="361" t="str">
        <f t="shared" si="65"/>
        <v>  -   </v>
      </c>
      <c r="D141" s="361" t="str">
        <f t="shared" si="65"/>
        <v>  -   </v>
      </c>
      <c r="E141" s="361" t="str">
        <f t="shared" si="65"/>
        <v>  -   </v>
      </c>
      <c r="F141" s="361" t="str">
        <f t="shared" si="65"/>
        <v>  -   </v>
      </c>
      <c r="G141" s="361" t="str">
        <f t="shared" si="65"/>
        <v>  -   </v>
      </c>
      <c r="H141" s="361" t="str">
        <f t="shared" si="65"/>
        <v>  -   </v>
      </c>
    </row>
    <row r="142">
      <c r="A142" s="87"/>
      <c r="B142" s="361"/>
      <c r="C142" s="361"/>
      <c r="D142" s="361"/>
      <c r="E142" s="361"/>
      <c r="F142" s="361"/>
      <c r="G142" s="361"/>
      <c r="H142" s="361"/>
    </row>
    <row r="143">
      <c r="A143" s="358" t="str">
        <f t="shared" ref="A143:A168" si="66">A91</f>
        <v> Fruit  &amp; Vegetables Crop Production Details</v>
      </c>
      <c r="B143" s="361"/>
      <c r="C143" s="361"/>
      <c r="D143" s="361"/>
      <c r="E143" s="361"/>
      <c r="F143" s="361"/>
      <c r="G143" s="361"/>
      <c r="H143" s="361"/>
    </row>
    <row r="144">
      <c r="A144" s="360" t="str">
        <f t="shared" si="66"/>
        <v> Onion</v>
      </c>
      <c r="B144" s="361" t="str">
        <f t="shared" ref="B144:H144" si="67">B92-(B92*$G$7)</f>
        <v>  -   </v>
      </c>
      <c r="C144" s="361" t="str">
        <f t="shared" si="67"/>
        <v>  -   </v>
      </c>
      <c r="D144" s="361" t="str">
        <f t="shared" si="67"/>
        <v>  -   </v>
      </c>
      <c r="E144" s="361" t="str">
        <f t="shared" si="67"/>
        <v>  -   </v>
      </c>
      <c r="F144" s="361" t="str">
        <f t="shared" si="67"/>
        <v>  -   </v>
      </c>
      <c r="G144" s="361" t="str">
        <f t="shared" si="67"/>
        <v>  -   </v>
      </c>
      <c r="H144" s="361" t="str">
        <f t="shared" si="67"/>
        <v>  -   </v>
      </c>
    </row>
    <row r="145">
      <c r="A145" s="360" t="str">
        <f t="shared" si="66"/>
        <v> Tomato</v>
      </c>
      <c r="B145" s="361" t="str">
        <f t="shared" ref="B145:H145" si="68">B93-(B93*$G$7)</f>
        <v>  -   </v>
      </c>
      <c r="C145" s="361" t="str">
        <f t="shared" si="68"/>
        <v>  -   </v>
      </c>
      <c r="D145" s="361" t="str">
        <f t="shared" si="68"/>
        <v>  -   </v>
      </c>
      <c r="E145" s="361" t="str">
        <f t="shared" si="68"/>
        <v>  -   </v>
      </c>
      <c r="F145" s="361" t="str">
        <f t="shared" si="68"/>
        <v>  -   </v>
      </c>
      <c r="G145" s="361" t="str">
        <f t="shared" si="68"/>
        <v>  -   </v>
      </c>
      <c r="H145" s="361" t="str">
        <f t="shared" si="68"/>
        <v>  -   </v>
      </c>
    </row>
    <row r="146">
      <c r="A146" s="360" t="str">
        <f t="shared" si="66"/>
        <v> Okra</v>
      </c>
      <c r="B146" s="361" t="str">
        <f t="shared" ref="B146:H146" si="69">B94-(B94*$G$7)</f>
        <v>  -   </v>
      </c>
      <c r="C146" s="361" t="str">
        <f t="shared" si="69"/>
        <v>  -   </v>
      </c>
      <c r="D146" s="361" t="str">
        <f t="shared" si="69"/>
        <v>  -   </v>
      </c>
      <c r="E146" s="361" t="str">
        <f t="shared" si="69"/>
        <v>  -   </v>
      </c>
      <c r="F146" s="361" t="str">
        <f t="shared" si="69"/>
        <v>  -   </v>
      </c>
      <c r="G146" s="361" t="str">
        <f t="shared" si="69"/>
        <v>  -   </v>
      </c>
      <c r="H146" s="361" t="str">
        <f t="shared" si="69"/>
        <v>  -   </v>
      </c>
    </row>
    <row r="147">
      <c r="A147" s="360" t="str">
        <f t="shared" si="66"/>
        <v> Chilli</v>
      </c>
      <c r="B147" s="361" t="str">
        <f t="shared" ref="B147:H147" si="70">B95-(B95*$G$7)</f>
        <v>  -   </v>
      </c>
      <c r="C147" s="361" t="str">
        <f t="shared" si="70"/>
        <v>  -   </v>
      </c>
      <c r="D147" s="361" t="str">
        <f t="shared" si="70"/>
        <v>  -   </v>
      </c>
      <c r="E147" s="361" t="str">
        <f t="shared" si="70"/>
        <v>  -   </v>
      </c>
      <c r="F147" s="361" t="str">
        <f t="shared" si="70"/>
        <v>  -   </v>
      </c>
      <c r="G147" s="361" t="str">
        <f t="shared" si="70"/>
        <v>  -   </v>
      </c>
      <c r="H147" s="361" t="str">
        <f t="shared" si="70"/>
        <v>  -   </v>
      </c>
    </row>
    <row r="148">
      <c r="A148" s="360" t="str">
        <f t="shared" si="66"/>
        <v> Potato</v>
      </c>
      <c r="B148" s="361" t="str">
        <f t="shared" ref="B148:H148" si="71">B96-(B96*$G$7)</f>
        <v>  -   </v>
      </c>
      <c r="C148" s="361" t="str">
        <f t="shared" si="71"/>
        <v>  -   </v>
      </c>
      <c r="D148" s="361" t="str">
        <f t="shared" si="71"/>
        <v>  -   </v>
      </c>
      <c r="E148" s="361" t="str">
        <f t="shared" si="71"/>
        <v>  -   </v>
      </c>
      <c r="F148" s="361" t="str">
        <f t="shared" si="71"/>
        <v>  -   </v>
      </c>
      <c r="G148" s="361" t="str">
        <f t="shared" si="71"/>
        <v>  -   </v>
      </c>
      <c r="H148" s="361" t="str">
        <f t="shared" si="71"/>
        <v>  -   </v>
      </c>
    </row>
    <row r="149">
      <c r="A149" s="360" t="str">
        <f t="shared" si="66"/>
        <v/>
      </c>
      <c r="B149" s="361" t="str">
        <f t="shared" ref="B149:H149" si="72">B97-(B97*$G$7)</f>
        <v>  -   </v>
      </c>
      <c r="C149" s="361" t="str">
        <f t="shared" si="72"/>
        <v>  -   </v>
      </c>
      <c r="D149" s="361" t="str">
        <f t="shared" si="72"/>
        <v>  -   </v>
      </c>
      <c r="E149" s="361" t="str">
        <f t="shared" si="72"/>
        <v>  -   </v>
      </c>
      <c r="F149" s="361" t="str">
        <f t="shared" si="72"/>
        <v>  -   </v>
      </c>
      <c r="G149" s="361" t="str">
        <f t="shared" si="72"/>
        <v>  -   </v>
      </c>
      <c r="H149" s="361" t="str">
        <f t="shared" si="72"/>
        <v>  -   </v>
      </c>
    </row>
    <row r="150">
      <c r="A150" s="360" t="str">
        <f t="shared" si="66"/>
        <v/>
      </c>
      <c r="B150" s="361" t="str">
        <f t="shared" ref="B150:H150" si="73">B98-(B98*$G$7)</f>
        <v>  -   </v>
      </c>
      <c r="C150" s="361" t="str">
        <f t="shared" si="73"/>
        <v>  -   </v>
      </c>
      <c r="D150" s="361" t="str">
        <f t="shared" si="73"/>
        <v>  -   </v>
      </c>
      <c r="E150" s="361" t="str">
        <f t="shared" si="73"/>
        <v>  -   </v>
      </c>
      <c r="F150" s="361" t="str">
        <f t="shared" si="73"/>
        <v>  -   </v>
      </c>
      <c r="G150" s="361" t="str">
        <f t="shared" si="73"/>
        <v>  -   </v>
      </c>
      <c r="H150" s="361" t="str">
        <f t="shared" si="73"/>
        <v>  -   </v>
      </c>
    </row>
    <row r="151">
      <c r="A151" s="360" t="str">
        <f t="shared" si="66"/>
        <v/>
      </c>
      <c r="B151" s="361" t="str">
        <f t="shared" ref="B151:H151" si="74">B99-(B99*$G$7)</f>
        <v>  -   </v>
      </c>
      <c r="C151" s="361" t="str">
        <f t="shared" si="74"/>
        <v>  -   </v>
      </c>
      <c r="D151" s="361" t="str">
        <f t="shared" si="74"/>
        <v>  -   </v>
      </c>
      <c r="E151" s="361" t="str">
        <f t="shared" si="74"/>
        <v>  -   </v>
      </c>
      <c r="F151" s="361" t="str">
        <f t="shared" si="74"/>
        <v>  -   </v>
      </c>
      <c r="G151" s="361" t="str">
        <f t="shared" si="74"/>
        <v>  -   </v>
      </c>
      <c r="H151" s="361" t="str">
        <f t="shared" si="74"/>
        <v>  -   </v>
      </c>
    </row>
    <row r="152">
      <c r="A152" s="360" t="str">
        <f t="shared" si="66"/>
        <v/>
      </c>
      <c r="B152" s="361" t="str">
        <f t="shared" ref="B152:H152" si="75">B100-(B100*$G$7)</f>
        <v>  -   </v>
      </c>
      <c r="C152" s="361" t="str">
        <f t="shared" si="75"/>
        <v>  -   </v>
      </c>
      <c r="D152" s="361" t="str">
        <f t="shared" si="75"/>
        <v>  -   </v>
      </c>
      <c r="E152" s="361" t="str">
        <f t="shared" si="75"/>
        <v>  -   </v>
      </c>
      <c r="F152" s="361" t="str">
        <f t="shared" si="75"/>
        <v>  -   </v>
      </c>
      <c r="G152" s="361" t="str">
        <f t="shared" si="75"/>
        <v>  -   </v>
      </c>
      <c r="H152" s="361" t="str">
        <f t="shared" si="75"/>
        <v>  -   </v>
      </c>
    </row>
    <row r="153">
      <c r="A153" s="360" t="str">
        <f t="shared" si="66"/>
        <v> Onion</v>
      </c>
      <c r="B153" s="361" t="str">
        <f t="shared" ref="B153:H153" si="76">B101-(B101*$G$7)</f>
        <v>  -   </v>
      </c>
      <c r="C153" s="361" t="str">
        <f t="shared" si="76"/>
        <v>  -   </v>
      </c>
      <c r="D153" s="361" t="str">
        <f t="shared" si="76"/>
        <v>  -   </v>
      </c>
      <c r="E153" s="361" t="str">
        <f t="shared" si="76"/>
        <v>  -   </v>
      </c>
      <c r="F153" s="361" t="str">
        <f t="shared" si="76"/>
        <v>  -   </v>
      </c>
      <c r="G153" s="361" t="str">
        <f t="shared" si="76"/>
        <v>  -   </v>
      </c>
      <c r="H153" s="361" t="str">
        <f t="shared" si="76"/>
        <v>  -   </v>
      </c>
    </row>
    <row r="154">
      <c r="A154" s="360" t="str">
        <f t="shared" si="66"/>
        <v> Tomato</v>
      </c>
      <c r="B154" s="361" t="str">
        <f t="shared" ref="B154:H154" si="77">B102-(B102*$G$7)</f>
        <v>  -   </v>
      </c>
      <c r="C154" s="361" t="str">
        <f t="shared" si="77"/>
        <v>  -   </v>
      </c>
      <c r="D154" s="361" t="str">
        <f t="shared" si="77"/>
        <v>  -   </v>
      </c>
      <c r="E154" s="361" t="str">
        <f t="shared" si="77"/>
        <v>  -   </v>
      </c>
      <c r="F154" s="361" t="str">
        <f t="shared" si="77"/>
        <v>  -   </v>
      </c>
      <c r="G154" s="361" t="str">
        <f t="shared" si="77"/>
        <v>  -   </v>
      </c>
      <c r="H154" s="361" t="str">
        <f t="shared" si="77"/>
        <v>  -   </v>
      </c>
    </row>
    <row r="155">
      <c r="A155" s="360" t="str">
        <f t="shared" si="66"/>
        <v> Okra</v>
      </c>
      <c r="B155" s="361" t="str">
        <f t="shared" ref="B155:H155" si="78">B103-(B103*$G$7)</f>
        <v>  -   </v>
      </c>
      <c r="C155" s="361" t="str">
        <f t="shared" si="78"/>
        <v>  -   </v>
      </c>
      <c r="D155" s="361" t="str">
        <f t="shared" si="78"/>
        <v>  -   </v>
      </c>
      <c r="E155" s="361" t="str">
        <f t="shared" si="78"/>
        <v>  -   </v>
      </c>
      <c r="F155" s="361" t="str">
        <f t="shared" si="78"/>
        <v>  -   </v>
      </c>
      <c r="G155" s="361" t="str">
        <f t="shared" si="78"/>
        <v>  -   </v>
      </c>
      <c r="H155" s="361" t="str">
        <f t="shared" si="78"/>
        <v>  -   </v>
      </c>
    </row>
    <row r="156">
      <c r="A156" s="360" t="str">
        <f t="shared" si="66"/>
        <v> Chilli</v>
      </c>
      <c r="B156" s="361" t="str">
        <f t="shared" ref="B156:H156" si="79">B104-(B104*$G$7)</f>
        <v>  -   </v>
      </c>
      <c r="C156" s="361" t="str">
        <f t="shared" si="79"/>
        <v>  -   </v>
      </c>
      <c r="D156" s="361" t="str">
        <f t="shared" si="79"/>
        <v>  -   </v>
      </c>
      <c r="E156" s="361" t="str">
        <f t="shared" si="79"/>
        <v>  -   </v>
      </c>
      <c r="F156" s="361" t="str">
        <f t="shared" si="79"/>
        <v>  -   </v>
      </c>
      <c r="G156" s="361" t="str">
        <f t="shared" si="79"/>
        <v>  -   </v>
      </c>
      <c r="H156" s="361" t="str">
        <f t="shared" si="79"/>
        <v>  -   </v>
      </c>
    </row>
    <row r="157">
      <c r="A157" s="360" t="str">
        <f t="shared" si="66"/>
        <v> Brinjal</v>
      </c>
      <c r="B157" s="361" t="str">
        <f t="shared" ref="B157:H157" si="80">B105-(B105*$G$7)</f>
        <v>  -   </v>
      </c>
      <c r="C157" s="361" t="str">
        <f t="shared" si="80"/>
        <v>  -   </v>
      </c>
      <c r="D157" s="361" t="str">
        <f t="shared" si="80"/>
        <v>  -   </v>
      </c>
      <c r="E157" s="361" t="str">
        <f t="shared" si="80"/>
        <v>  -   </v>
      </c>
      <c r="F157" s="361" t="str">
        <f t="shared" si="80"/>
        <v>  -   </v>
      </c>
      <c r="G157" s="361" t="str">
        <f t="shared" si="80"/>
        <v>  -   </v>
      </c>
      <c r="H157" s="361" t="str">
        <f t="shared" si="80"/>
        <v>  -   </v>
      </c>
    </row>
    <row r="158">
      <c r="A158" s="360" t="str">
        <f t="shared" si="66"/>
        <v/>
      </c>
      <c r="B158" s="361" t="str">
        <f t="shared" ref="B158:H158" si="81">B106-(B106*$G$7)</f>
        <v>  -   </v>
      </c>
      <c r="C158" s="361" t="str">
        <f t="shared" si="81"/>
        <v>  -   </v>
      </c>
      <c r="D158" s="361" t="str">
        <f t="shared" si="81"/>
        <v>  -   </v>
      </c>
      <c r="E158" s="361" t="str">
        <f t="shared" si="81"/>
        <v>  -   </v>
      </c>
      <c r="F158" s="361" t="str">
        <f t="shared" si="81"/>
        <v>  -   </v>
      </c>
      <c r="G158" s="361" t="str">
        <f t="shared" si="81"/>
        <v>  -   </v>
      </c>
      <c r="H158" s="361" t="str">
        <f t="shared" si="81"/>
        <v>  -   </v>
      </c>
    </row>
    <row r="159">
      <c r="A159" s="360" t="str">
        <f t="shared" si="66"/>
        <v/>
      </c>
      <c r="B159" s="361" t="str">
        <f t="shared" ref="B159:H159" si="82">B107-(B107*$G$7)</f>
        <v>  -   </v>
      </c>
      <c r="C159" s="361" t="str">
        <f t="shared" si="82"/>
        <v>  -   </v>
      </c>
      <c r="D159" s="361" t="str">
        <f t="shared" si="82"/>
        <v>  -   </v>
      </c>
      <c r="E159" s="361" t="str">
        <f t="shared" si="82"/>
        <v>  -   </v>
      </c>
      <c r="F159" s="361" t="str">
        <f t="shared" si="82"/>
        <v>  -   </v>
      </c>
      <c r="G159" s="361" t="str">
        <f t="shared" si="82"/>
        <v>  -   </v>
      </c>
      <c r="H159" s="361" t="str">
        <f t="shared" si="82"/>
        <v>  -   </v>
      </c>
    </row>
    <row r="160">
      <c r="A160" s="360" t="str">
        <f t="shared" si="66"/>
        <v/>
      </c>
      <c r="B160" s="361" t="str">
        <f t="shared" ref="B160:H160" si="83">B108-(B108*$G$7)</f>
        <v>  -   </v>
      </c>
      <c r="C160" s="361" t="str">
        <f t="shared" si="83"/>
        <v>  -   </v>
      </c>
      <c r="D160" s="361" t="str">
        <f t="shared" si="83"/>
        <v>  -   </v>
      </c>
      <c r="E160" s="361" t="str">
        <f t="shared" si="83"/>
        <v>  -   </v>
      </c>
      <c r="F160" s="361" t="str">
        <f t="shared" si="83"/>
        <v>  -   </v>
      </c>
      <c r="G160" s="361" t="str">
        <f t="shared" si="83"/>
        <v>  -   </v>
      </c>
      <c r="H160" s="361" t="str">
        <f t="shared" si="83"/>
        <v>  -   </v>
      </c>
    </row>
    <row r="161">
      <c r="A161" s="360" t="str">
        <f t="shared" si="66"/>
        <v/>
      </c>
      <c r="B161" s="361" t="str">
        <f t="shared" ref="B161:H161" si="84">B109-(B109*$G$7)</f>
        <v>  -   </v>
      </c>
      <c r="C161" s="361" t="str">
        <f t="shared" si="84"/>
        <v>  -   </v>
      </c>
      <c r="D161" s="361" t="str">
        <f t="shared" si="84"/>
        <v>  -   </v>
      </c>
      <c r="E161" s="361" t="str">
        <f t="shared" si="84"/>
        <v>  -   </v>
      </c>
      <c r="F161" s="361" t="str">
        <f t="shared" si="84"/>
        <v>  -   </v>
      </c>
      <c r="G161" s="361" t="str">
        <f t="shared" si="84"/>
        <v>  -   </v>
      </c>
      <c r="H161" s="361" t="str">
        <f t="shared" si="84"/>
        <v>  -   </v>
      </c>
    </row>
    <row r="162">
      <c r="A162" s="360" t="str">
        <f t="shared" si="66"/>
        <v/>
      </c>
      <c r="B162" s="361" t="str">
        <f t="shared" ref="B162:H162" si="85">B110-(B110*$G$7)</f>
        <v>  -   </v>
      </c>
      <c r="C162" s="361" t="str">
        <f t="shared" si="85"/>
        <v>  -   </v>
      </c>
      <c r="D162" s="361" t="str">
        <f t="shared" si="85"/>
        <v>  -   </v>
      </c>
      <c r="E162" s="361" t="str">
        <f t="shared" si="85"/>
        <v>  -   </v>
      </c>
      <c r="F162" s="361" t="str">
        <f t="shared" si="85"/>
        <v>  -   </v>
      </c>
      <c r="G162" s="361" t="str">
        <f t="shared" si="85"/>
        <v>  -   </v>
      </c>
      <c r="H162" s="361" t="str">
        <f t="shared" si="85"/>
        <v>  -   </v>
      </c>
    </row>
    <row r="163">
      <c r="A163" s="360" t="str">
        <f t="shared" si="66"/>
        <v/>
      </c>
      <c r="B163" s="361" t="str">
        <f t="shared" ref="B163:H163" si="86">B111-(B111*$G$7)</f>
        <v>  -   </v>
      </c>
      <c r="C163" s="361" t="str">
        <f t="shared" si="86"/>
        <v>  -   </v>
      </c>
      <c r="D163" s="361" t="str">
        <f t="shared" si="86"/>
        <v>  -   </v>
      </c>
      <c r="E163" s="361" t="str">
        <f t="shared" si="86"/>
        <v>  -   </v>
      </c>
      <c r="F163" s="361" t="str">
        <f t="shared" si="86"/>
        <v>  -   </v>
      </c>
      <c r="G163" s="361" t="str">
        <f t="shared" si="86"/>
        <v>  -   </v>
      </c>
      <c r="H163" s="361" t="str">
        <f t="shared" si="86"/>
        <v>  -   </v>
      </c>
    </row>
    <row r="164">
      <c r="A164" s="360" t="str">
        <f t="shared" si="66"/>
        <v/>
      </c>
      <c r="B164" s="361" t="str">
        <f t="shared" ref="B164:H164" si="87">B112-(B112*$G$7)</f>
        <v>  -   </v>
      </c>
      <c r="C164" s="361" t="str">
        <f t="shared" si="87"/>
        <v>  -   </v>
      </c>
      <c r="D164" s="361" t="str">
        <f t="shared" si="87"/>
        <v>  -   </v>
      </c>
      <c r="E164" s="361" t="str">
        <f t="shared" si="87"/>
        <v>  -   </v>
      </c>
      <c r="F164" s="361" t="str">
        <f t="shared" si="87"/>
        <v>  -   </v>
      </c>
      <c r="G164" s="361" t="str">
        <f t="shared" si="87"/>
        <v>  -   </v>
      </c>
      <c r="H164" s="361" t="str">
        <f t="shared" si="87"/>
        <v>  -   </v>
      </c>
    </row>
    <row r="165">
      <c r="A165" s="360" t="str">
        <f t="shared" si="66"/>
        <v> Pomegranate</v>
      </c>
      <c r="B165" s="361" t="str">
        <f t="shared" ref="B165:H165" si="88">B113-(B113*$G$7)</f>
        <v>  -   </v>
      </c>
      <c r="C165" s="361" t="str">
        <f t="shared" si="88"/>
        <v>  -   </v>
      </c>
      <c r="D165" s="361" t="str">
        <f t="shared" si="88"/>
        <v>  -   </v>
      </c>
      <c r="E165" s="361" t="str">
        <f t="shared" si="88"/>
        <v>  -   </v>
      </c>
      <c r="F165" s="361" t="str">
        <f t="shared" si="88"/>
        <v>  -   </v>
      </c>
      <c r="G165" s="361" t="str">
        <f t="shared" si="88"/>
        <v>  -   </v>
      </c>
      <c r="H165" s="361" t="str">
        <f t="shared" si="88"/>
        <v>  -   </v>
      </c>
    </row>
    <row r="166">
      <c r="A166" s="360" t="str">
        <f t="shared" si="66"/>
        <v> Custard Apple</v>
      </c>
      <c r="B166" s="361" t="str">
        <f t="shared" ref="B166:H166" si="89">B114-(B114*$G$7)</f>
        <v>  -   </v>
      </c>
      <c r="C166" s="361" t="str">
        <f t="shared" si="89"/>
        <v>  -   </v>
      </c>
      <c r="D166" s="361" t="str">
        <f t="shared" si="89"/>
        <v>  -   </v>
      </c>
      <c r="E166" s="361" t="str">
        <f t="shared" si="89"/>
        <v>  -   </v>
      </c>
      <c r="F166" s="361" t="str">
        <f t="shared" si="89"/>
        <v>  -   </v>
      </c>
      <c r="G166" s="361" t="str">
        <f t="shared" si="89"/>
        <v>  -   </v>
      </c>
      <c r="H166" s="361" t="str">
        <f t="shared" si="89"/>
        <v>  -   </v>
      </c>
    </row>
    <row r="167">
      <c r="A167" s="360" t="str">
        <f t="shared" si="66"/>
        <v> Guava</v>
      </c>
      <c r="B167" s="361" t="str">
        <f t="shared" ref="B167:H167" si="90">B115-(B115*$G$7)</f>
        <v>  -   </v>
      </c>
      <c r="C167" s="361" t="str">
        <f t="shared" si="90"/>
        <v>  -   </v>
      </c>
      <c r="D167" s="361" t="str">
        <f t="shared" si="90"/>
        <v>  -   </v>
      </c>
      <c r="E167" s="361" t="str">
        <f t="shared" si="90"/>
        <v>  -   </v>
      </c>
      <c r="F167" s="361" t="str">
        <f t="shared" si="90"/>
        <v>  -   </v>
      </c>
      <c r="G167" s="361" t="str">
        <f t="shared" si="90"/>
        <v>  -   </v>
      </c>
      <c r="H167" s="361" t="str">
        <f t="shared" si="90"/>
        <v>  -   </v>
      </c>
    </row>
    <row r="168">
      <c r="A168" s="360" t="str">
        <f t="shared" si="66"/>
        <v> Citrus</v>
      </c>
      <c r="B168" s="361" t="str">
        <f t="shared" ref="B168:H168" si="91">B116-(B116*$G$7)</f>
        <v>  -   </v>
      </c>
      <c r="C168" s="361" t="str">
        <f t="shared" si="91"/>
        <v>  -   </v>
      </c>
      <c r="D168" s="361" t="str">
        <f t="shared" si="91"/>
        <v>  -   </v>
      </c>
      <c r="E168" s="361" t="str">
        <f t="shared" si="91"/>
        <v>  -   </v>
      </c>
      <c r="F168" s="361" t="str">
        <f t="shared" si="91"/>
        <v>  -   </v>
      </c>
      <c r="G168" s="361" t="str">
        <f t="shared" si="91"/>
        <v>  -   </v>
      </c>
      <c r="H168" s="361" t="str">
        <f t="shared" si="91"/>
        <v>  -   </v>
      </c>
    </row>
    <row r="169">
      <c r="A169" s="93"/>
    </row>
    <row r="170">
      <c r="A170" s="25" t="s">
        <v>619</v>
      </c>
    </row>
    <row r="171">
      <c r="A171" s="45"/>
      <c r="B171" s="45"/>
      <c r="C171" s="45"/>
      <c r="D171" s="45"/>
      <c r="E171" s="45"/>
      <c r="F171" s="45"/>
      <c r="G171" s="45"/>
      <c r="H171" s="45"/>
    </row>
    <row r="172">
      <c r="A172" s="362"/>
      <c r="B172" s="362"/>
      <c r="C172" s="362"/>
      <c r="D172" s="363">
        <v>1.0</v>
      </c>
      <c r="E172" s="364" t="str">
        <f t="shared" ref="E172:J172" si="92">(D172*5%)+D172</f>
        <v>105.00%</v>
      </c>
      <c r="F172" s="364" t="str">
        <f t="shared" si="92"/>
        <v>110.25%</v>
      </c>
      <c r="G172" s="364" t="str">
        <f t="shared" si="92"/>
        <v>115.76%</v>
      </c>
      <c r="H172" s="364" t="str">
        <f t="shared" si="92"/>
        <v>121.55%</v>
      </c>
      <c r="I172" s="364" t="str">
        <f t="shared" si="92"/>
        <v>127.63%</v>
      </c>
      <c r="J172" s="364" t="str">
        <f t="shared" si="92"/>
        <v>134.01%</v>
      </c>
      <c r="K172" s="93"/>
      <c r="L172" s="93"/>
      <c r="M172" s="93"/>
      <c r="N172" s="93"/>
      <c r="O172" s="93"/>
      <c r="P172" s="93"/>
      <c r="Q172" s="93"/>
      <c r="R172" s="93"/>
      <c r="S172" s="93"/>
      <c r="T172" s="93"/>
    </row>
    <row r="173">
      <c r="A173" s="93"/>
      <c r="B173" s="93"/>
      <c r="C173" s="93"/>
      <c r="D173" s="93"/>
      <c r="E173" s="93"/>
      <c r="F173" s="93"/>
      <c r="G173" s="93"/>
      <c r="H173" s="93"/>
      <c r="I173" s="93"/>
      <c r="J173" s="93"/>
      <c r="K173" s="93"/>
      <c r="L173" s="93"/>
      <c r="M173" s="93"/>
      <c r="N173" s="93"/>
      <c r="O173" s="93"/>
      <c r="P173" s="93"/>
      <c r="Q173" s="93"/>
      <c r="R173" s="93"/>
      <c r="S173" s="93"/>
      <c r="T173" s="93"/>
    </row>
    <row r="174">
      <c r="A174" s="93"/>
      <c r="B174" s="93"/>
      <c r="C174" s="93"/>
      <c r="D174" s="195"/>
      <c r="E174" s="195"/>
      <c r="F174" s="195"/>
      <c r="G174" s="195"/>
      <c r="H174" s="195"/>
      <c r="I174" s="195"/>
      <c r="J174" s="195"/>
      <c r="K174" s="93"/>
      <c r="L174" s="93"/>
    </row>
    <row r="175">
      <c r="A175" s="97" t="s">
        <v>156</v>
      </c>
      <c r="B175" s="97"/>
      <c r="C175" s="97" t="s">
        <v>220</v>
      </c>
      <c r="D175" s="98" t="s">
        <v>137</v>
      </c>
      <c r="E175" s="98" t="s">
        <v>138</v>
      </c>
      <c r="F175" s="98" t="s">
        <v>139</v>
      </c>
      <c r="G175" s="98" t="s">
        <v>140</v>
      </c>
      <c r="H175" s="98" t="s">
        <v>141</v>
      </c>
      <c r="I175" s="98" t="s">
        <v>142</v>
      </c>
      <c r="J175" s="98" t="s">
        <v>143</v>
      </c>
      <c r="K175" s="93"/>
      <c r="L175" s="93"/>
    </row>
    <row r="176">
      <c r="A176" s="90"/>
      <c r="B176" s="90"/>
      <c r="C176" s="90"/>
      <c r="D176" s="87"/>
      <c r="E176" s="87"/>
      <c r="F176" s="87"/>
      <c r="G176" s="87"/>
      <c r="H176" s="87"/>
      <c r="I176" s="87"/>
      <c r="J176" s="87"/>
      <c r="K176" s="93"/>
      <c r="L176" s="93"/>
    </row>
    <row r="177">
      <c r="A177" s="90" t="s">
        <v>448</v>
      </c>
      <c r="B177" s="90"/>
      <c r="C177" s="90"/>
      <c r="D177" s="87"/>
      <c r="E177" s="87"/>
      <c r="F177" s="87"/>
      <c r="G177" s="87"/>
      <c r="H177" s="87"/>
      <c r="I177" s="87"/>
      <c r="J177" s="87"/>
      <c r="K177" s="93"/>
      <c r="L177" s="93"/>
    </row>
    <row r="178">
      <c r="A178" s="360" t="str">
        <f t="shared" ref="A178:A198" si="93">A120</f>
        <v> Soybean</v>
      </c>
      <c r="B178" s="87" t="s">
        <v>620</v>
      </c>
      <c r="C178" s="91">
        <v>7500.0</v>
      </c>
      <c r="D178" s="360" t="str">
        <f>(B120*(1-'5.Closing Stock &amp; W Capital'!$D$16))*C$178*D172</f>
        <v>  63,998,802 </v>
      </c>
      <c r="E178" s="360" t="str">
        <f>((C120*(1-'5.Closing Stock &amp; W Capital'!$D$16))+(B120*'5.Closing Stock &amp; W Capital'!$D$16))*$C178*E$172</f>
        <v>  75,290,019 </v>
      </c>
      <c r="F178" s="360" t="str">
        <f>((D120*(1-'5.Closing Stock &amp; W Capital'!$D$16))+(C120*'5.Closing Stock &amp; W Capital'!$D$16))*$C178*F$172</f>
        <v>  86,254,385 </v>
      </c>
      <c r="G178" s="360" t="str">
        <f>((E120*(1-'5.Closing Stock &amp; W Capital'!$D$16))+(D120*'5.Closing Stock &amp; W Capital'!$D$16))*$C178*G$172</f>
        <v>  98,126,963 </v>
      </c>
      <c r="H178" s="360" t="str">
        <f>((F120*(1-'5.Closing Stock &amp; W Capital'!$D$16))+(E120*'5.Closing Stock &amp; W Capital'!$D$16))*$C178*H$172</f>
        <v>  110,971,163 </v>
      </c>
      <c r="I178" s="360" t="str">
        <f>((G120*(1-'5.Closing Stock &amp; W Capital'!$D$16))+(F120*'5.Closing Stock &amp; W Capital'!$D$16))*$C178*I$172</f>
        <v>  124,854,465 </v>
      </c>
      <c r="J178" s="360" t="str">
        <f>((H120*(1-'5.Closing Stock &amp; W Capital'!$D$16))+(G120*'5.Closing Stock &amp; W Capital'!$D$16))*$C178*J$172</f>
        <v>  139,848,669 </v>
      </c>
      <c r="K178" s="93"/>
      <c r="L178" s="93" t="str">
        <f>75*30</f>
        <v>2250</v>
      </c>
    </row>
    <row r="179">
      <c r="A179" s="360" t="str">
        <f t="shared" si="93"/>
        <v> Red Gram/Tur</v>
      </c>
      <c r="B179" s="87" t="s">
        <v>620</v>
      </c>
      <c r="C179" s="91">
        <v>7000.0</v>
      </c>
      <c r="D179" s="360" t="str">
        <f>(B121*(1-'5.Closing Stock &amp; W Capital'!$D$16))*$C179*D$172</f>
        <v>  10,453,138 </v>
      </c>
      <c r="E179" s="360" t="str">
        <f>((C121*(1-'5.Closing Stock &amp; W Capital'!$D$16))+(B121*'5.Closing Stock &amp; W Capital'!$D$16))*$C179*E$172</f>
        <v>  12,297,370 </v>
      </c>
      <c r="F179" s="360" t="str">
        <f>((D121*(1-'5.Closing Stock &amp; W Capital'!$D$16))+(C121*'5.Closing Stock &amp; W Capital'!$D$16))*$C179*F$172</f>
        <v>  14,088,216 </v>
      </c>
      <c r="G179" s="360" t="str">
        <f>((E121*(1-'5.Closing Stock &amp; W Capital'!$D$16))+(D121*'5.Closing Stock &amp; W Capital'!$D$16))*$C179*G$172</f>
        <v>  16,027,404 </v>
      </c>
      <c r="H179" s="360" t="str">
        <f>((F121*(1-'5.Closing Stock &amp; W Capital'!$D$16))+(E121*'5.Closing Stock &amp; W Capital'!$D$16))*$C179*H$172</f>
        <v>  18,125,290 </v>
      </c>
      <c r="I179" s="360" t="str">
        <f>((G121*(1-'5.Closing Stock &amp; W Capital'!$D$16))+(F121*'5.Closing Stock &amp; W Capital'!$D$16))*$C179*I$172</f>
        <v>  20,392,896 </v>
      </c>
      <c r="J179" s="360" t="str">
        <f>((H121*(1-'5.Closing Stock &amp; W Capital'!$D$16))+(G121*'5.Closing Stock &amp; W Capital'!$D$16))*$C179*J$172</f>
        <v>  22,841,949 </v>
      </c>
      <c r="K179" s="93"/>
      <c r="L179" s="93" t="str">
        <f>70*30</f>
        <v>2100</v>
      </c>
    </row>
    <row r="180">
      <c r="A180" s="360" t="str">
        <f t="shared" si="93"/>
        <v> Paddy/Rice</v>
      </c>
      <c r="B180" s="87" t="s">
        <v>620</v>
      </c>
      <c r="C180" s="91"/>
      <c r="D180" s="360" t="str">
        <f>(B122*(1-'5.Closing Stock &amp; W Capital'!$D$16))*$C180*D$172</f>
        <v>  -   </v>
      </c>
      <c r="E180" s="360" t="str">
        <f>((C122*(1-'5.Closing Stock &amp; W Capital'!$D$16))+(B122*'5.Closing Stock &amp; W Capital'!$D$16))*$C180*E$172</f>
        <v>  -   </v>
      </c>
      <c r="F180" s="360" t="str">
        <f>((D122*(1-'5.Closing Stock &amp; W Capital'!$D$16))+(C122*'5.Closing Stock &amp; W Capital'!$D$16))*$C180*F$172</f>
        <v>  -   </v>
      </c>
      <c r="G180" s="360" t="str">
        <f>((E122*(1-'5.Closing Stock &amp; W Capital'!$D$16))+(D122*'5.Closing Stock &amp; W Capital'!$D$16))*$C180*G$172</f>
        <v>  -   </v>
      </c>
      <c r="H180" s="360" t="str">
        <f>((F122*(1-'5.Closing Stock &amp; W Capital'!$D$16))+(E122*'5.Closing Stock &amp; W Capital'!$D$16))*$C180*H$172</f>
        <v>  -   </v>
      </c>
      <c r="I180" s="360" t="str">
        <f>((G122*(1-'5.Closing Stock &amp; W Capital'!$D$16))+(F122*'5.Closing Stock &amp; W Capital'!$D$16))*$C180*I$172</f>
        <v>  -   </v>
      </c>
      <c r="J180" s="360" t="str">
        <f>((H122*(1-'5.Closing Stock &amp; W Capital'!$D$16))+(G122*'5.Closing Stock &amp; W Capital'!$D$16))*$C180*J$172</f>
        <v>  -   </v>
      </c>
      <c r="K180" s="93"/>
      <c r="L180" s="93"/>
    </row>
    <row r="181">
      <c r="A181" s="360" t="str">
        <f t="shared" si="93"/>
        <v> Green Gram/ Moong</v>
      </c>
      <c r="B181" s="87" t="s">
        <v>620</v>
      </c>
      <c r="C181" s="91"/>
      <c r="D181" s="360" t="str">
        <f>(B123*(1-'5.Closing Stock &amp; W Capital'!$D$16))*$C181*D$172</f>
        <v>  -   </v>
      </c>
      <c r="E181" s="360" t="str">
        <f>((C123*(1-'5.Closing Stock &amp; W Capital'!$D$16))+(B123*'5.Closing Stock &amp; W Capital'!$D$16))*$C181*E$172</f>
        <v>  -   </v>
      </c>
      <c r="F181" s="360" t="str">
        <f>((D123*(1-'5.Closing Stock &amp; W Capital'!$D$16))+(C123*'5.Closing Stock &amp; W Capital'!$D$16))*$C181*F$172</f>
        <v>  -   </v>
      </c>
      <c r="G181" s="360" t="str">
        <f>((E123*(1-'5.Closing Stock &amp; W Capital'!$D$16))+(D123*'5.Closing Stock &amp; W Capital'!$D$16))*$C181*G$172</f>
        <v>  -   </v>
      </c>
      <c r="H181" s="360" t="str">
        <f>((F123*(1-'5.Closing Stock &amp; W Capital'!$D$16))+(E123*'5.Closing Stock &amp; W Capital'!$D$16))*$C181*H$172</f>
        <v>  -   </v>
      </c>
      <c r="I181" s="360" t="str">
        <f>((G123*(1-'5.Closing Stock &amp; W Capital'!$D$16))+(F123*'5.Closing Stock &amp; W Capital'!$D$16))*$C181*I$172</f>
        <v>  -   </v>
      </c>
      <c r="J181" s="360" t="str">
        <f>((H123*(1-'5.Closing Stock &amp; W Capital'!$D$16))+(G123*'5.Closing Stock &amp; W Capital'!$D$16))*$C181*J$172</f>
        <v>  -   </v>
      </c>
      <c r="K181" s="93"/>
      <c r="L181" s="93"/>
    </row>
    <row r="182">
      <c r="A182" s="360" t="str">
        <f t="shared" si="93"/>
        <v> Maize</v>
      </c>
      <c r="B182" s="87" t="s">
        <v>620</v>
      </c>
      <c r="C182" s="91"/>
      <c r="D182" s="360" t="str">
        <f>(B124*(1-'5.Closing Stock &amp; W Capital'!$D$16))*$C182*D$172</f>
        <v>  -   </v>
      </c>
      <c r="E182" s="360" t="str">
        <f>((C124*(1-'5.Closing Stock &amp; W Capital'!$D$16))+(B124*'5.Closing Stock &amp; W Capital'!$D$16))*$C182*E$172</f>
        <v>  -   </v>
      </c>
      <c r="F182" s="360" t="str">
        <f>((D124*(1-'5.Closing Stock &amp; W Capital'!$D$16))+(C124*'5.Closing Stock &amp; W Capital'!$D$16))*$C182*F$172</f>
        <v>  -   </v>
      </c>
      <c r="G182" s="360" t="str">
        <f>((E124*(1-'5.Closing Stock &amp; W Capital'!$D$16))+(D124*'5.Closing Stock &amp; W Capital'!$D$16))*$C182*G$172</f>
        <v>  -   </v>
      </c>
      <c r="H182" s="360" t="str">
        <f>((F124*(1-'5.Closing Stock &amp; W Capital'!$D$16))+(E124*'5.Closing Stock &amp; W Capital'!$D$16))*$C182*H$172</f>
        <v>  -   </v>
      </c>
      <c r="I182" s="360" t="str">
        <f>((G124*(1-'5.Closing Stock &amp; W Capital'!$D$16))+(F124*'5.Closing Stock &amp; W Capital'!$D$16))*$C182*I$172</f>
        <v>  -   </v>
      </c>
      <c r="J182" s="360" t="str">
        <f>((H124*(1-'5.Closing Stock &amp; W Capital'!$D$16))+(G124*'5.Closing Stock &amp; W Capital'!$D$16))*$C182*J$172</f>
        <v>  -   </v>
      </c>
      <c r="K182" s="93"/>
      <c r="L182" s="93"/>
    </row>
    <row r="183">
      <c r="A183" s="360" t="str">
        <f t="shared" si="93"/>
        <v> Black Gram/Udid</v>
      </c>
      <c r="B183" s="87" t="s">
        <v>620</v>
      </c>
      <c r="C183" s="91"/>
      <c r="D183" s="360" t="str">
        <f>(B125*(1-'5.Closing Stock &amp; W Capital'!$D$16))*$C183*D$172</f>
        <v>  -   </v>
      </c>
      <c r="E183" s="360" t="str">
        <f>((C125*(1-'5.Closing Stock &amp; W Capital'!$D$16))+(B125*'5.Closing Stock &amp; W Capital'!$D$16))*$C183*E$172</f>
        <v>  -   </v>
      </c>
      <c r="F183" s="360" t="str">
        <f>((D125*(1-'5.Closing Stock &amp; W Capital'!$D$16))+(C125*'5.Closing Stock &amp; W Capital'!$D$16))*$C183*F$172</f>
        <v>  -   </v>
      </c>
      <c r="G183" s="360" t="str">
        <f>((E125*(1-'5.Closing Stock &amp; W Capital'!$D$16))+(D125*'5.Closing Stock &amp; W Capital'!$D$16))*$C183*G$172</f>
        <v>  -   </v>
      </c>
      <c r="H183" s="360" t="str">
        <f>((F125*(1-'5.Closing Stock &amp; W Capital'!$D$16))+(E125*'5.Closing Stock &amp; W Capital'!$D$16))*$C183*H$172</f>
        <v>  -   </v>
      </c>
      <c r="I183" s="360" t="str">
        <f>((G125*(1-'5.Closing Stock &amp; W Capital'!$D$16))+(F125*'5.Closing Stock &amp; W Capital'!$D$16))*$C183*I$172</f>
        <v>  -   </v>
      </c>
      <c r="J183" s="360" t="str">
        <f>((H125*(1-'5.Closing Stock &amp; W Capital'!$D$16))+(G125*'5.Closing Stock &amp; W Capital'!$D$16))*$C183*J$172</f>
        <v>  -   </v>
      </c>
      <c r="K183" s="93"/>
      <c r="L183" s="93"/>
    </row>
    <row r="184">
      <c r="A184" s="360" t="str">
        <f t="shared" si="93"/>
        <v> Bajra</v>
      </c>
      <c r="B184" s="87" t="s">
        <v>620</v>
      </c>
      <c r="C184" s="91"/>
      <c r="D184" s="360" t="str">
        <f>(B126*(1-'5.Closing Stock &amp; W Capital'!$D$16))*$C184*D$172</f>
        <v>  -   </v>
      </c>
      <c r="E184" s="360" t="str">
        <f>((C126*(1-'5.Closing Stock &amp; W Capital'!$D$16))+(B126*'5.Closing Stock &amp; W Capital'!$D$16))*$C184*E$172</f>
        <v>  -   </v>
      </c>
      <c r="F184" s="360" t="str">
        <f>((D126*(1-'5.Closing Stock &amp; W Capital'!$D$16))+(C126*'5.Closing Stock &amp; W Capital'!$D$16))*$C184*F$172</f>
        <v>  -   </v>
      </c>
      <c r="G184" s="360" t="str">
        <f>((E126*(1-'5.Closing Stock &amp; W Capital'!$D$16))+(D126*'5.Closing Stock &amp; W Capital'!$D$16))*$C184*G$172</f>
        <v>  -   </v>
      </c>
      <c r="H184" s="360" t="str">
        <f>((F126*(1-'5.Closing Stock &amp; W Capital'!$D$16))+(E126*'5.Closing Stock &amp; W Capital'!$D$16))*$C184*H$172</f>
        <v>  -   </v>
      </c>
      <c r="I184" s="360" t="str">
        <f>((G126*(1-'5.Closing Stock &amp; W Capital'!$D$16))+(F126*'5.Closing Stock &amp; W Capital'!$D$16))*$C184*I$172</f>
        <v>  -   </v>
      </c>
      <c r="J184" s="360" t="str">
        <f>((H126*(1-'5.Closing Stock &amp; W Capital'!$D$16))+(G126*'5.Closing Stock &amp; W Capital'!$D$16))*$C184*J$172</f>
        <v>  -   </v>
      </c>
      <c r="K184" s="93"/>
      <c r="L184" s="93"/>
    </row>
    <row r="185">
      <c r="A185" s="360" t="str">
        <f t="shared" si="93"/>
        <v> Jawar</v>
      </c>
      <c r="B185" s="87" t="s">
        <v>620</v>
      </c>
      <c r="C185" s="91"/>
      <c r="D185" s="360" t="str">
        <f>(B127*(1-'5.Closing Stock &amp; W Capital'!$D$16))*$C185*D$172</f>
        <v>  -   </v>
      </c>
      <c r="E185" s="360" t="str">
        <f>((C127*(1-'5.Closing Stock &amp; W Capital'!$D$16))+(B127*'5.Closing Stock &amp; W Capital'!$D$16))*$C185*E$172</f>
        <v>  -   </v>
      </c>
      <c r="F185" s="360" t="str">
        <f>((D127*(1-'5.Closing Stock &amp; W Capital'!$D$16))+(C127*'5.Closing Stock &amp; W Capital'!$D$16))*$C185*F$172</f>
        <v>  -   </v>
      </c>
      <c r="G185" s="360" t="str">
        <f>((E127*(1-'5.Closing Stock &amp; W Capital'!$D$16))+(D127*'5.Closing Stock &amp; W Capital'!$D$16))*$C185*G$172</f>
        <v>  -   </v>
      </c>
      <c r="H185" s="360" t="str">
        <f>((F127*(1-'5.Closing Stock &amp; W Capital'!$D$16))+(E127*'5.Closing Stock &amp; W Capital'!$D$16))*$C185*H$172</f>
        <v>  -   </v>
      </c>
      <c r="I185" s="360" t="str">
        <f>((G127*(1-'5.Closing Stock &amp; W Capital'!$D$16))+(F127*'5.Closing Stock &amp; W Capital'!$D$16))*$C185*I$172</f>
        <v>  -   </v>
      </c>
      <c r="J185" s="360" t="str">
        <f>((H127*(1-'5.Closing Stock &amp; W Capital'!$D$16))+(G127*'5.Closing Stock &amp; W Capital'!$D$16))*$C185*J$172</f>
        <v>  -   </v>
      </c>
      <c r="K185" s="93"/>
      <c r="L185" s="93"/>
    </row>
    <row r="186">
      <c r="A186" s="360" t="str">
        <f t="shared" si="93"/>
        <v> Sunflower</v>
      </c>
      <c r="B186" s="87" t="s">
        <v>620</v>
      </c>
      <c r="C186" s="91"/>
      <c r="D186" s="360" t="str">
        <f>(B128*(1-'5.Closing Stock &amp; W Capital'!$D$16))*$C186*D$172</f>
        <v>  -   </v>
      </c>
      <c r="E186" s="360" t="str">
        <f>((C128*(1-'5.Closing Stock &amp; W Capital'!$D$16))+(B128*'5.Closing Stock &amp; W Capital'!$D$16))*$C186*E$172</f>
        <v>  -   </v>
      </c>
      <c r="F186" s="360" t="str">
        <f>((D128*(1-'5.Closing Stock &amp; W Capital'!$D$16))+(C128*'5.Closing Stock &amp; W Capital'!$D$16))*$C186*F$172</f>
        <v>  -   </v>
      </c>
      <c r="G186" s="360" t="str">
        <f>((E128*(1-'5.Closing Stock &amp; W Capital'!$D$16))+(D128*'5.Closing Stock &amp; W Capital'!$D$16))*$C186*G$172</f>
        <v>  -   </v>
      </c>
      <c r="H186" s="360" t="str">
        <f>((F128*(1-'5.Closing Stock &amp; W Capital'!$D$16))+(E128*'5.Closing Stock &amp; W Capital'!$D$16))*$C186*H$172</f>
        <v>  -   </v>
      </c>
      <c r="I186" s="360" t="str">
        <f>((G128*(1-'5.Closing Stock &amp; W Capital'!$D$16))+(F128*'5.Closing Stock &amp; W Capital'!$D$16))*$C186*I$172</f>
        <v>  -   </v>
      </c>
      <c r="J186" s="360" t="str">
        <f>((H128*(1-'5.Closing Stock &amp; W Capital'!$D$16))+(G128*'5.Closing Stock &amp; W Capital'!$D$16))*$C186*J$172</f>
        <v>  -   </v>
      </c>
      <c r="K186" s="93"/>
      <c r="L186" s="93"/>
    </row>
    <row r="187">
      <c r="A187" s="360" t="str">
        <f t="shared" si="93"/>
        <v> Wheat</v>
      </c>
      <c r="B187" s="87" t="s">
        <v>620</v>
      </c>
      <c r="C187" s="91"/>
      <c r="D187" s="360" t="str">
        <f>(B129*(1-'5.Closing Stock &amp; W Capital'!$D$16))*$C187*D$172</f>
        <v>  -   </v>
      </c>
      <c r="E187" s="360" t="str">
        <f>((C129*(1-'5.Closing Stock &amp; W Capital'!$D$16))+(B129*'5.Closing Stock &amp; W Capital'!$D$16))*$C187*E$172</f>
        <v>  -   </v>
      </c>
      <c r="F187" s="360" t="str">
        <f>((D129*(1-'5.Closing Stock &amp; W Capital'!$D$16))+(C129*'5.Closing Stock &amp; W Capital'!$D$16))*$C187*F$172</f>
        <v>  -   </v>
      </c>
      <c r="G187" s="360" t="str">
        <f>((E129*(1-'5.Closing Stock &amp; W Capital'!$D$16))+(D129*'5.Closing Stock &amp; W Capital'!$D$16))*$C187*G$172</f>
        <v>  -   </v>
      </c>
      <c r="H187" s="360" t="str">
        <f>((F129*(1-'5.Closing Stock &amp; W Capital'!$D$16))+(E129*'5.Closing Stock &amp; W Capital'!$D$16))*$C187*H$172</f>
        <v>  -   </v>
      </c>
      <c r="I187" s="360" t="str">
        <f>((G129*(1-'5.Closing Stock &amp; W Capital'!$D$16))+(F129*'5.Closing Stock &amp; W Capital'!$D$16))*$C187*I$172</f>
        <v>  -   </v>
      </c>
      <c r="J187" s="360" t="str">
        <f>((H129*(1-'5.Closing Stock &amp; W Capital'!$D$16))+(G129*'5.Closing Stock &amp; W Capital'!$D$16))*$C187*J$172</f>
        <v>  -   </v>
      </c>
      <c r="K187" s="93"/>
      <c r="L187" s="93"/>
    </row>
    <row r="188">
      <c r="A188" s="360" t="str">
        <f t="shared" si="93"/>
        <v> Bengal Gram/Channa</v>
      </c>
      <c r="B188" s="87" t="s">
        <v>620</v>
      </c>
      <c r="C188" s="91">
        <v>6500.0</v>
      </c>
      <c r="D188" s="360" t="str">
        <f>(B130*(1-'5.Closing Stock &amp; W Capital'!$D$16))*$C188*D$172</f>
        <v>  27,501,707 </v>
      </c>
      <c r="E188" s="360" t="str">
        <f>((C130*(1-'5.Closing Stock &amp; W Capital'!$D$16))+(B130*'5.Closing Stock &amp; W Capital'!$D$16))*$C188*E$172</f>
        <v>  32,353,794 </v>
      </c>
      <c r="F188" s="360" t="str">
        <f>((D130*(1-'5.Closing Stock &amp; W Capital'!$D$16))+(C130*'5.Closing Stock &amp; W Capital'!$D$16))*$C188*F$172</f>
        <v>  37,065,426 </v>
      </c>
      <c r="G188" s="360" t="str">
        <f>((E130*(1-'5.Closing Stock &amp; W Capital'!$D$16))+(D130*'5.Closing Stock &amp; W Capital'!$D$16))*$C188*G$172</f>
        <v>  42,167,337 </v>
      </c>
      <c r="H188" s="360" t="str">
        <f>((F130*(1-'5.Closing Stock &amp; W Capital'!$D$16))+(E130*'5.Closing Stock &amp; W Capital'!$D$16))*$C188*H$172</f>
        <v>  47,686,775 </v>
      </c>
      <c r="I188" s="360" t="str">
        <f>((G130*(1-'5.Closing Stock &amp; W Capital'!$D$16))+(F130*'5.Closing Stock &amp; W Capital'!$D$16))*$C188*I$172</f>
        <v>  53,652,738 </v>
      </c>
      <c r="J188" s="360" t="str">
        <f>((H130*(1-'5.Closing Stock &amp; W Capital'!$D$16))+(G130*'5.Closing Stock &amp; W Capital'!$D$16))*$C188*J$172</f>
        <v>  60,096,081 </v>
      </c>
      <c r="K188" s="93"/>
      <c r="L188" s="93"/>
    </row>
    <row r="189">
      <c r="A189" s="360" t="str">
        <f t="shared" si="93"/>
        <v> Jawar</v>
      </c>
      <c r="B189" s="87" t="s">
        <v>620</v>
      </c>
      <c r="C189" s="91"/>
      <c r="D189" s="360" t="str">
        <f>(B131*(1-'5.Closing Stock &amp; W Capital'!$D$16))*$C189*D$172</f>
        <v>  -   </v>
      </c>
      <c r="E189" s="360" t="str">
        <f>((C131*(1-'5.Closing Stock &amp; W Capital'!$D$16))+(B131*'5.Closing Stock &amp; W Capital'!$D$16))*$C189*E$172</f>
        <v>  -   </v>
      </c>
      <c r="F189" s="360" t="str">
        <f>((D131*(1-'5.Closing Stock &amp; W Capital'!$D$16))+(C131*'5.Closing Stock &amp; W Capital'!$D$16))*$C189*F$172</f>
        <v>  -   </v>
      </c>
      <c r="G189" s="360" t="str">
        <f>((E131*(1-'5.Closing Stock &amp; W Capital'!$D$16))+(D131*'5.Closing Stock &amp; W Capital'!$D$16))*$C189*G$172</f>
        <v>  -   </v>
      </c>
      <c r="H189" s="360" t="str">
        <f>((F131*(1-'5.Closing Stock &amp; W Capital'!$D$16))+(E131*'5.Closing Stock &amp; W Capital'!$D$16))*$C189*H$172</f>
        <v>  -   </v>
      </c>
      <c r="I189" s="360" t="str">
        <f>((G131*(1-'5.Closing Stock &amp; W Capital'!$D$16))+(F131*'5.Closing Stock &amp; W Capital'!$D$16))*$C189*I$172</f>
        <v>  -   </v>
      </c>
      <c r="J189" s="360" t="str">
        <f>((H131*(1-'5.Closing Stock &amp; W Capital'!$D$16))+(G131*'5.Closing Stock &amp; W Capital'!$D$16))*$C189*J$172</f>
        <v>  -   </v>
      </c>
      <c r="K189" s="93"/>
      <c r="L189" s="93"/>
    </row>
    <row r="190">
      <c r="A190" s="360" t="str">
        <f t="shared" si="93"/>
        <v> Maize</v>
      </c>
      <c r="B190" s="87" t="s">
        <v>620</v>
      </c>
      <c r="C190" s="91"/>
      <c r="D190" s="360" t="str">
        <f>(B132*(1-'5.Closing Stock &amp; W Capital'!$D$16))*$C190*D$172</f>
        <v>  -   </v>
      </c>
      <c r="E190" s="360" t="str">
        <f>((C132*(1-'5.Closing Stock &amp; W Capital'!$D$16))+(B132*'5.Closing Stock &amp; W Capital'!$D$16))*$C190*E$172</f>
        <v>  -   </v>
      </c>
      <c r="F190" s="360" t="str">
        <f>((D132*(1-'5.Closing Stock &amp; W Capital'!$D$16))+(C132*'5.Closing Stock &amp; W Capital'!$D$16))*$C190*F$172</f>
        <v>  -   </v>
      </c>
      <c r="G190" s="360" t="str">
        <f>((E132*(1-'5.Closing Stock &amp; W Capital'!$D$16))+(D132*'5.Closing Stock &amp; W Capital'!$D$16))*$C190*G$172</f>
        <v>  -   </v>
      </c>
      <c r="H190" s="360" t="str">
        <f>((F132*(1-'5.Closing Stock &amp; W Capital'!$D$16))+(E132*'5.Closing Stock &amp; W Capital'!$D$16))*$C190*H$172</f>
        <v>  -   </v>
      </c>
      <c r="I190" s="360" t="str">
        <f>((G132*(1-'5.Closing Stock &amp; W Capital'!$D$16))+(F132*'5.Closing Stock &amp; W Capital'!$D$16))*$C190*I$172</f>
        <v>  -   </v>
      </c>
      <c r="J190" s="360" t="str">
        <f>((H132*(1-'5.Closing Stock &amp; W Capital'!$D$16))+(G132*'5.Closing Stock &amp; W Capital'!$D$16))*$C190*J$172</f>
        <v>  -   </v>
      </c>
      <c r="K190" s="93"/>
      <c r="L190" s="93"/>
    </row>
    <row r="191">
      <c r="A191" s="360" t="str">
        <f t="shared" si="93"/>
        <v> Safflower</v>
      </c>
      <c r="B191" s="87" t="s">
        <v>620</v>
      </c>
      <c r="C191" s="91"/>
      <c r="D191" s="360" t="str">
        <f>(B133*(1-'5.Closing Stock &amp; W Capital'!$D$16))*$C191*D$172</f>
        <v>  -   </v>
      </c>
      <c r="E191" s="360" t="str">
        <f>((C133*(1-'5.Closing Stock &amp; W Capital'!$D$16))+(B133*'5.Closing Stock &amp; W Capital'!$D$16))*$C191*E$172</f>
        <v>  -   </v>
      </c>
      <c r="F191" s="360" t="str">
        <f>((D133*(1-'5.Closing Stock &amp; W Capital'!$D$16))+(C133*'5.Closing Stock &amp; W Capital'!$D$16))*$C191*F$172</f>
        <v>  -   </v>
      </c>
      <c r="G191" s="360" t="str">
        <f>((E133*(1-'5.Closing Stock &amp; W Capital'!$D$16))+(D133*'5.Closing Stock &amp; W Capital'!$D$16))*$C191*G$172</f>
        <v>  -   </v>
      </c>
      <c r="H191" s="360" t="str">
        <f>((F133*(1-'5.Closing Stock &amp; W Capital'!$D$16))+(E133*'5.Closing Stock &amp; W Capital'!$D$16))*$C191*H$172</f>
        <v>  -   </v>
      </c>
      <c r="I191" s="360" t="str">
        <f>((G133*(1-'5.Closing Stock &amp; W Capital'!$D$16))+(F133*'5.Closing Stock &amp; W Capital'!$D$16))*$C191*I$172</f>
        <v>  -   </v>
      </c>
      <c r="J191" s="360" t="str">
        <f>((H133*(1-'5.Closing Stock &amp; W Capital'!$D$16))+(G133*'5.Closing Stock &amp; W Capital'!$D$16))*$C191*J$172</f>
        <v>  -   </v>
      </c>
      <c r="K191" s="93"/>
      <c r="L191" s="93"/>
    </row>
    <row r="192">
      <c r="A192" s="360" t="str">
        <f t="shared" si="93"/>
        <v/>
      </c>
      <c r="B192" s="87" t="s">
        <v>620</v>
      </c>
      <c r="C192" s="91"/>
      <c r="D192" s="360" t="str">
        <f>(B134*(1-'5.Closing Stock &amp; W Capital'!$D$16))*$C192*D$172</f>
        <v>  -   </v>
      </c>
      <c r="E192" s="360" t="str">
        <f>((C134*(1-'5.Closing Stock &amp; W Capital'!$D$16))+(B134*'5.Closing Stock &amp; W Capital'!$D$16))*$C192*E$172</f>
        <v>  -   </v>
      </c>
      <c r="F192" s="360" t="str">
        <f>((D134*(1-'5.Closing Stock &amp; W Capital'!$D$16))+(C134*'5.Closing Stock &amp; W Capital'!$D$16))*$C192*F$172</f>
        <v>  -   </v>
      </c>
      <c r="G192" s="360" t="str">
        <f>((E134*(1-'5.Closing Stock &amp; W Capital'!$D$16))+(D134*'5.Closing Stock &amp; W Capital'!$D$16))*$C192*G$172</f>
        <v>  -   </v>
      </c>
      <c r="H192" s="360" t="str">
        <f>((F134*(1-'5.Closing Stock &amp; W Capital'!$D$16))+(E134*'5.Closing Stock &amp; W Capital'!$D$16))*$C192*H$172</f>
        <v>  -   </v>
      </c>
      <c r="I192" s="360" t="str">
        <f>((G134*(1-'5.Closing Stock &amp; W Capital'!$D$16))+(F134*'5.Closing Stock &amp; W Capital'!$D$16))*$C192*I$172</f>
        <v>  -   </v>
      </c>
      <c r="J192" s="360" t="str">
        <f>((H134*(1-'5.Closing Stock &amp; W Capital'!$D$16))+(G134*'5.Closing Stock &amp; W Capital'!$D$16))*$C192*J$172</f>
        <v>  -   </v>
      </c>
      <c r="K192" s="93"/>
      <c r="L192" s="93"/>
    </row>
    <row r="193">
      <c r="A193" s="360" t="str">
        <f t="shared" si="93"/>
        <v/>
      </c>
      <c r="B193" s="87" t="s">
        <v>620</v>
      </c>
      <c r="C193" s="91"/>
      <c r="D193" s="360" t="str">
        <f>(B135*(1-'5.Closing Stock &amp; W Capital'!$D$16))*$C193*D$172</f>
        <v>  -   </v>
      </c>
      <c r="E193" s="360" t="str">
        <f>((C135*(1-'5.Closing Stock &amp; W Capital'!$D$16))+(B135*'5.Closing Stock &amp; W Capital'!$D$16))*$C193*E$172</f>
        <v>  -   </v>
      </c>
      <c r="F193" s="360" t="str">
        <f>((D135*(1-'5.Closing Stock &amp; W Capital'!$D$16))+(C135*'5.Closing Stock &amp; W Capital'!$D$16))*$C193*F$172</f>
        <v>  -   </v>
      </c>
      <c r="G193" s="360" t="str">
        <f>((E135*(1-'5.Closing Stock &amp; W Capital'!$D$16))+(D135*'5.Closing Stock &amp; W Capital'!$D$16))*$C193*G$172</f>
        <v>  -   </v>
      </c>
      <c r="H193" s="360" t="str">
        <f>((F135*(1-'5.Closing Stock &amp; W Capital'!$D$16))+(E135*'5.Closing Stock &amp; W Capital'!$D$16))*$C193*H$172</f>
        <v>  -   </v>
      </c>
      <c r="I193" s="360" t="str">
        <f>((G135*(1-'5.Closing Stock &amp; W Capital'!$D$16))+(F135*'5.Closing Stock &amp; W Capital'!$D$16))*$C193*I$172</f>
        <v>  -   </v>
      </c>
      <c r="J193" s="360" t="str">
        <f>((H135*(1-'5.Closing Stock &amp; W Capital'!$D$16))+(G135*'5.Closing Stock &amp; W Capital'!$D$16))*$C193*J$172</f>
        <v>  -   </v>
      </c>
      <c r="K193" s="93"/>
      <c r="L193" s="93"/>
    </row>
    <row r="194">
      <c r="A194" s="360" t="str">
        <f t="shared" si="93"/>
        <v/>
      </c>
      <c r="B194" s="87" t="s">
        <v>620</v>
      </c>
      <c r="C194" s="91"/>
      <c r="D194" s="360" t="str">
        <f>(B136*(1-'5.Closing Stock &amp; W Capital'!$D$16))*$C194*D$172</f>
        <v>  -   </v>
      </c>
      <c r="E194" s="360" t="str">
        <f>((C136*(1-'5.Closing Stock &amp; W Capital'!$D$16))+(B136*'5.Closing Stock &amp; W Capital'!$D$16))*$C194*E$172</f>
        <v>  -   </v>
      </c>
      <c r="F194" s="360" t="str">
        <f>((D136*(1-'5.Closing Stock &amp; W Capital'!$D$16))+(C136*'5.Closing Stock &amp; W Capital'!$D$16))*$C194*F$172</f>
        <v>  -   </v>
      </c>
      <c r="G194" s="360" t="str">
        <f>((E136*(1-'5.Closing Stock &amp; W Capital'!$D$16))+(D136*'5.Closing Stock &amp; W Capital'!$D$16))*$C194*G$172</f>
        <v>  -   </v>
      </c>
      <c r="H194" s="360" t="str">
        <f>((F136*(1-'5.Closing Stock &amp; W Capital'!$D$16))+(E136*'5.Closing Stock &amp; W Capital'!$D$16))*$C194*H$172</f>
        <v>  -   </v>
      </c>
      <c r="I194" s="360" t="str">
        <f>((G136*(1-'5.Closing Stock &amp; W Capital'!$D$16))+(F136*'5.Closing Stock &amp; W Capital'!$D$16))*$C194*I$172</f>
        <v>  -   </v>
      </c>
      <c r="J194" s="360" t="str">
        <f>((H136*(1-'5.Closing Stock &amp; W Capital'!$D$16))+(G136*'5.Closing Stock &amp; W Capital'!$D$16))*$C194*J$172</f>
        <v>  -   </v>
      </c>
      <c r="K194" s="93"/>
      <c r="L194" s="93"/>
    </row>
    <row r="195">
      <c r="A195" s="360" t="str">
        <f t="shared" si="93"/>
        <v> Groundnut</v>
      </c>
      <c r="B195" s="87" t="s">
        <v>620</v>
      </c>
      <c r="C195" s="91"/>
      <c r="D195" s="360" t="str">
        <f>(B137*(1-'5.Closing Stock &amp; W Capital'!$D$16))*$C195*D$172</f>
        <v>  -   </v>
      </c>
      <c r="E195" s="360" t="str">
        <f>((C137*(1-'5.Closing Stock &amp; W Capital'!$D$16))+(B137*'5.Closing Stock &amp; W Capital'!$D$16))*$C195*E$172</f>
        <v>  -   </v>
      </c>
      <c r="F195" s="360" t="str">
        <f>((D137*(1-'5.Closing Stock &amp; W Capital'!$D$16))+(C137*'5.Closing Stock &amp; W Capital'!$D$16))*$C195*F$172</f>
        <v>  -   </v>
      </c>
      <c r="G195" s="360" t="str">
        <f>((E137*(1-'5.Closing Stock &amp; W Capital'!$D$16))+(D137*'5.Closing Stock &amp; W Capital'!$D$16))*$C195*G$172</f>
        <v>  -   </v>
      </c>
      <c r="H195" s="360" t="str">
        <f>((F137*(1-'5.Closing Stock &amp; W Capital'!$D$16))+(E137*'5.Closing Stock &amp; W Capital'!$D$16))*$C195*H$172</f>
        <v>  -   </v>
      </c>
      <c r="I195" s="360" t="str">
        <f>((G137*(1-'5.Closing Stock &amp; W Capital'!$D$16))+(F137*'5.Closing Stock &amp; W Capital'!$D$16))*$C195*I$172</f>
        <v>  -   </v>
      </c>
      <c r="J195" s="360" t="str">
        <f>((H137*(1-'5.Closing Stock &amp; W Capital'!$D$16))+(G137*'5.Closing Stock &amp; W Capital'!$D$16))*$C195*J$172</f>
        <v>  -   </v>
      </c>
      <c r="K195" s="93"/>
      <c r="L195" s="93"/>
    </row>
    <row r="196">
      <c r="A196" s="360" t="str">
        <f t="shared" si="93"/>
        <v/>
      </c>
      <c r="B196" s="87" t="s">
        <v>620</v>
      </c>
      <c r="C196" s="91"/>
      <c r="D196" s="360" t="str">
        <f>(B138*(1-'5.Closing Stock &amp; W Capital'!$D$16))*$C196*D$172</f>
        <v>  -   </v>
      </c>
      <c r="E196" s="360" t="str">
        <f>((C138*(1-'5.Closing Stock &amp; W Capital'!$D$16))+(B138*'5.Closing Stock &amp; W Capital'!$D$16))*$C196*E$172</f>
        <v>  -   </v>
      </c>
      <c r="F196" s="360" t="str">
        <f>((D138*(1-'5.Closing Stock &amp; W Capital'!$D$16))+(C138*'5.Closing Stock &amp; W Capital'!$D$16))*$C196*F$172</f>
        <v>  -   </v>
      </c>
      <c r="G196" s="360" t="str">
        <f>((E138*(1-'5.Closing Stock &amp; W Capital'!$D$16))+(D138*'5.Closing Stock &amp; W Capital'!$D$16))*$C196*G$172</f>
        <v>  -   </v>
      </c>
      <c r="H196" s="360" t="str">
        <f>((F138*(1-'5.Closing Stock &amp; W Capital'!$D$16))+(E138*'5.Closing Stock &amp; W Capital'!$D$16))*$C196*H$172</f>
        <v>  -   </v>
      </c>
      <c r="I196" s="360" t="str">
        <f>((G138*(1-'5.Closing Stock &amp; W Capital'!$D$16))+(F138*'5.Closing Stock &amp; W Capital'!$D$16))*$C196*I$172</f>
        <v>  -   </v>
      </c>
      <c r="J196" s="360" t="str">
        <f>((H138*(1-'5.Closing Stock &amp; W Capital'!$D$16))+(G138*'5.Closing Stock &amp; W Capital'!$D$16))*$C196*J$172</f>
        <v>  -   </v>
      </c>
      <c r="K196" s="93"/>
      <c r="L196" s="93"/>
    </row>
    <row r="197">
      <c r="A197" s="360" t="str">
        <f t="shared" si="93"/>
        <v/>
      </c>
      <c r="B197" s="87" t="s">
        <v>620</v>
      </c>
      <c r="C197" s="91"/>
      <c r="D197" s="360" t="str">
        <f>(B139*(1-'5.Closing Stock &amp; W Capital'!$D$16))*$C197*D$172</f>
        <v>  -   </v>
      </c>
      <c r="E197" s="360" t="str">
        <f>((C139*(1-'5.Closing Stock &amp; W Capital'!$D$16))+(B139*'5.Closing Stock &amp; W Capital'!$D$16))*$C197*E$172</f>
        <v>  -   </v>
      </c>
      <c r="F197" s="360" t="str">
        <f>((D139*(1-'5.Closing Stock &amp; W Capital'!$D$16))+(C139*'5.Closing Stock &amp; W Capital'!$D$16))*$C197*F$172</f>
        <v>  -   </v>
      </c>
      <c r="G197" s="360" t="str">
        <f>((E139*(1-'5.Closing Stock &amp; W Capital'!$D$16))+(D139*'5.Closing Stock &amp; W Capital'!$D$16))*$C197*G$172</f>
        <v>  -   </v>
      </c>
      <c r="H197" s="360" t="str">
        <f>((F139*(1-'5.Closing Stock &amp; W Capital'!$D$16))+(E139*'5.Closing Stock &amp; W Capital'!$D$16))*$C197*H$172</f>
        <v>  -   </v>
      </c>
      <c r="I197" s="360" t="str">
        <f>((G139*(1-'5.Closing Stock &amp; W Capital'!$D$16))+(F139*'5.Closing Stock &amp; W Capital'!$D$16))*$C197*I$172</f>
        <v>  -   </v>
      </c>
      <c r="J197" s="360" t="str">
        <f>((H139*(1-'5.Closing Stock &amp; W Capital'!$D$16))+(G139*'5.Closing Stock &amp; W Capital'!$D$16))*$C197*J$172</f>
        <v>  -   </v>
      </c>
      <c r="K197" s="93"/>
      <c r="L197" s="93"/>
    </row>
    <row r="198">
      <c r="A198" s="360" t="str">
        <f t="shared" si="93"/>
        <v/>
      </c>
      <c r="B198" s="87" t="s">
        <v>620</v>
      </c>
      <c r="C198" s="91"/>
      <c r="D198" s="360" t="str">
        <f>(B140*(1-'5.Closing Stock &amp; W Capital'!$D$16))*$C198*D$172</f>
        <v>  -   </v>
      </c>
      <c r="E198" s="360" t="str">
        <f>((C140*(1-'5.Closing Stock &amp; W Capital'!$D$16))+(B140*'5.Closing Stock &amp; W Capital'!$D$16))*$C198*E$172</f>
        <v>  -   </v>
      </c>
      <c r="F198" s="360" t="str">
        <f>((D140*(1-'5.Closing Stock &amp; W Capital'!$D$16))+(C140*'5.Closing Stock &amp; W Capital'!$D$16))*$C198*F$172</f>
        <v>  -   </v>
      </c>
      <c r="G198" s="360" t="str">
        <f>((E140*(1-'5.Closing Stock &amp; W Capital'!$D$16))+(D140*'5.Closing Stock &amp; W Capital'!$D$16))*$C198*G$172</f>
        <v>  -   </v>
      </c>
      <c r="H198" s="360" t="str">
        <f>((F140*(1-'5.Closing Stock &amp; W Capital'!$D$16))+(E140*'5.Closing Stock &amp; W Capital'!$D$16))*$C198*H$172</f>
        <v>  -   </v>
      </c>
      <c r="I198" s="360" t="str">
        <f>((G140*(1-'5.Closing Stock &amp; W Capital'!$D$16))+(F140*'5.Closing Stock &amp; W Capital'!$D$16))*$C198*I$172</f>
        <v>  -   </v>
      </c>
      <c r="J198" s="360" t="str">
        <f>((H140*(1-'5.Closing Stock &amp; W Capital'!$D$16))+(G140*'5.Closing Stock &amp; W Capital'!$D$16))*$C198*J$172</f>
        <v>  -   </v>
      </c>
      <c r="K198" s="93"/>
      <c r="L198" s="93"/>
    </row>
    <row r="199">
      <c r="A199" s="87"/>
      <c r="B199" s="87" t="s">
        <v>620</v>
      </c>
      <c r="C199" s="91"/>
      <c r="D199" s="360" t="str">
        <f>(B141*(1-'5.Closing Stock &amp; W Capital'!$D$16))*$C199*D$172</f>
        <v>  -   </v>
      </c>
      <c r="E199" s="360" t="str">
        <f>((C141*(1-'5.Closing Stock &amp; W Capital'!$D$16))+(B141*'5.Closing Stock &amp; W Capital'!$D$16))*$C199*E$172</f>
        <v>  -   </v>
      </c>
      <c r="F199" s="360" t="str">
        <f>((D141*(1-'5.Closing Stock &amp; W Capital'!$D$16))+(C141*'5.Closing Stock &amp; W Capital'!$D$16))*$C199*F$172</f>
        <v>  -   </v>
      </c>
      <c r="G199" s="360" t="str">
        <f>((E141*(1-'5.Closing Stock &amp; W Capital'!$D$16))+(D141*'5.Closing Stock &amp; W Capital'!$D$16))*$C199*G$172</f>
        <v>  -   </v>
      </c>
      <c r="H199" s="360" t="str">
        <f>((F141*(1-'5.Closing Stock &amp; W Capital'!$D$16))+(E141*'5.Closing Stock &amp; W Capital'!$D$16))*$C199*H$172</f>
        <v>  -   </v>
      </c>
      <c r="I199" s="360" t="str">
        <f>((G141*(1-'5.Closing Stock &amp; W Capital'!$D$16))+(F141*'5.Closing Stock &amp; W Capital'!$D$16))*$C199*I$172</f>
        <v>  -   </v>
      </c>
      <c r="J199" s="360" t="str">
        <f>((H141*(1-'5.Closing Stock &amp; W Capital'!$D$16))+(G141*'5.Closing Stock &amp; W Capital'!$D$16))*$C199*J$172</f>
        <v>  -   </v>
      </c>
      <c r="K199" s="93"/>
      <c r="L199" s="93"/>
    </row>
    <row r="200">
      <c r="A200" s="90" t="s">
        <v>621</v>
      </c>
      <c r="B200" s="87" t="s">
        <v>620</v>
      </c>
      <c r="C200" s="90">
        <v>200.0</v>
      </c>
      <c r="D200" s="360" t="str">
        <f t="shared" ref="D200:J200" si="94">B65*$C$200*D172</f>
        <v>  3,062,838 </v>
      </c>
      <c r="E200" s="360" t="str">
        <f t="shared" si="94"/>
        <v>  3,537,578 </v>
      </c>
      <c r="F200" s="360" t="str">
        <f t="shared" si="94"/>
        <v>  4,052,135 </v>
      </c>
      <c r="G200" s="360" t="str">
        <f t="shared" si="94"/>
        <v>  4,609,303 </v>
      </c>
      <c r="H200" s="360" t="str">
        <f t="shared" si="94"/>
        <v>  5,212,058 </v>
      </c>
      <c r="I200" s="360" t="str">
        <f t="shared" si="94"/>
        <v>  5,863,566 </v>
      </c>
      <c r="J200" s="360" t="str">
        <f t="shared" si="94"/>
        <v>  6,567,193 </v>
      </c>
      <c r="K200" s="93"/>
      <c r="L200" s="93"/>
    </row>
    <row r="201">
      <c r="A201" s="90"/>
      <c r="B201" s="90"/>
      <c r="C201" s="90"/>
      <c r="D201" s="87"/>
      <c r="E201" s="87"/>
      <c r="F201" s="87"/>
      <c r="G201" s="87"/>
      <c r="H201" s="87"/>
      <c r="I201" s="87"/>
      <c r="J201" s="87"/>
      <c r="K201" s="93"/>
      <c r="L201" s="93"/>
    </row>
    <row r="202">
      <c r="A202" s="358" t="str">
        <f t="shared" ref="A202:A227" si="95">A143</f>
        <v> Fruit  &amp; Vegetables Crop Production Details</v>
      </c>
      <c r="B202" s="90"/>
      <c r="C202" s="90"/>
      <c r="D202" s="87"/>
      <c r="E202" s="87"/>
      <c r="F202" s="87"/>
      <c r="G202" s="87"/>
      <c r="H202" s="87"/>
      <c r="I202" s="87"/>
      <c r="J202" s="87"/>
      <c r="K202" s="93"/>
      <c r="L202" s="93"/>
    </row>
    <row r="203">
      <c r="A203" s="358" t="str">
        <f t="shared" si="95"/>
        <v> Onion</v>
      </c>
      <c r="B203" s="87" t="s">
        <v>620</v>
      </c>
      <c r="C203" s="365"/>
      <c r="D203" s="360" t="str">
        <f>(B144*(1-'5.Closing Stock &amp; W Capital'!$D$16))*$C203*D$172</f>
        <v>  -   </v>
      </c>
      <c r="E203" s="360" t="str">
        <f>((C144*(1-'5.Closing Stock &amp; W Capital'!$D$16))+(B144*'5.Closing Stock &amp; W Capital'!$D$16))*$C203*E$172</f>
        <v>  -   </v>
      </c>
      <c r="F203" s="360" t="str">
        <f>((D144*(1-'5.Closing Stock &amp; W Capital'!$D$16))+(C144*'5.Closing Stock &amp; W Capital'!$D$16))*$C203*F$172</f>
        <v>  -   </v>
      </c>
      <c r="G203" s="360" t="str">
        <f>((E144*(1-'5.Closing Stock &amp; W Capital'!$D$16))+(D144*'5.Closing Stock &amp; W Capital'!$D$16))*$C203*G$172</f>
        <v>  -   </v>
      </c>
      <c r="H203" s="360" t="str">
        <f>((F144*(1-'5.Closing Stock &amp; W Capital'!$D$16))+(E144*'5.Closing Stock &amp; W Capital'!$D$16))*$C203*H$172</f>
        <v>  -   </v>
      </c>
      <c r="I203" s="360" t="str">
        <f>((G144*(1-'5.Closing Stock &amp; W Capital'!$D$16))+(F144*'5.Closing Stock &amp; W Capital'!$D$16))*$C203*I$172</f>
        <v>  -   </v>
      </c>
      <c r="J203" s="360" t="str">
        <f>((H144*(1-'5.Closing Stock &amp; W Capital'!$D$16))+(G144*'5.Closing Stock &amp; W Capital'!$D$16))*$C203*J$172</f>
        <v>  -   </v>
      </c>
      <c r="K203" s="93"/>
      <c r="L203" s="93"/>
    </row>
    <row r="204">
      <c r="A204" s="358" t="str">
        <f t="shared" si="95"/>
        <v> Tomato</v>
      </c>
      <c r="B204" s="87" t="s">
        <v>620</v>
      </c>
      <c r="C204" s="91"/>
      <c r="D204" s="360" t="str">
        <f>(B145*(1-'5.Closing Stock &amp; W Capital'!$D$16))*$C204*D$172</f>
        <v>  -   </v>
      </c>
      <c r="E204" s="360" t="str">
        <f>((C145*(1-'5.Closing Stock &amp; W Capital'!$D$16))+(B145*'5.Closing Stock &amp; W Capital'!$D$16))*$C204*E$172</f>
        <v>  -   </v>
      </c>
      <c r="F204" s="360" t="str">
        <f>((D145*(1-'5.Closing Stock &amp; W Capital'!$D$16))+(C145*'5.Closing Stock &amp; W Capital'!$D$16))*$C204*F$172</f>
        <v>  -   </v>
      </c>
      <c r="G204" s="360" t="str">
        <f>((E145*(1-'5.Closing Stock &amp; W Capital'!$D$16))+(D145*'5.Closing Stock &amp; W Capital'!$D$16))*$C204*G$172</f>
        <v>  -   </v>
      </c>
      <c r="H204" s="360" t="str">
        <f>((F145*(1-'5.Closing Stock &amp; W Capital'!$D$16))+(E145*'5.Closing Stock &amp; W Capital'!$D$16))*$C204*H$172</f>
        <v>  -   </v>
      </c>
      <c r="I204" s="360" t="str">
        <f>((G145*(1-'5.Closing Stock &amp; W Capital'!$D$16))+(F145*'5.Closing Stock &amp; W Capital'!$D$16))*$C204*I$172</f>
        <v>  -   </v>
      </c>
      <c r="J204" s="360" t="str">
        <f>((H145*(1-'5.Closing Stock &amp; W Capital'!$D$16))+(G145*'5.Closing Stock &amp; W Capital'!$D$16))*$C204*J$172</f>
        <v>  -   </v>
      </c>
      <c r="K204" s="93"/>
      <c r="L204" s="93"/>
    </row>
    <row r="205">
      <c r="A205" s="358" t="str">
        <f t="shared" si="95"/>
        <v> Okra</v>
      </c>
      <c r="B205" s="87" t="s">
        <v>620</v>
      </c>
      <c r="C205" s="91"/>
      <c r="D205" s="360" t="str">
        <f>(B146*(1-'5.Closing Stock &amp; W Capital'!$D$16))*$C205*D$172</f>
        <v>  -   </v>
      </c>
      <c r="E205" s="360" t="str">
        <f>((C146*(1-'5.Closing Stock &amp; W Capital'!$D$16))+(B146*'5.Closing Stock &amp; W Capital'!$D$16))*$C205*E$172</f>
        <v>  -   </v>
      </c>
      <c r="F205" s="360" t="str">
        <f>((D146*(1-'5.Closing Stock &amp; W Capital'!$D$16))+(C146*'5.Closing Stock &amp; W Capital'!$D$16))*$C205*F$172</f>
        <v>  -   </v>
      </c>
      <c r="G205" s="360" t="str">
        <f>((E146*(1-'5.Closing Stock &amp; W Capital'!$D$16))+(D146*'5.Closing Stock &amp; W Capital'!$D$16))*$C205*G$172</f>
        <v>  -   </v>
      </c>
      <c r="H205" s="360" t="str">
        <f>((F146*(1-'5.Closing Stock &amp; W Capital'!$D$16))+(E146*'5.Closing Stock &amp; W Capital'!$D$16))*$C205*H$172</f>
        <v>  -   </v>
      </c>
      <c r="I205" s="360" t="str">
        <f>((G146*(1-'5.Closing Stock &amp; W Capital'!$D$16))+(F146*'5.Closing Stock &amp; W Capital'!$D$16))*$C205*I$172</f>
        <v>  -   </v>
      </c>
      <c r="J205" s="360" t="str">
        <f>((H146*(1-'5.Closing Stock &amp; W Capital'!$D$16))+(G146*'5.Closing Stock &amp; W Capital'!$D$16))*$C205*J$172</f>
        <v>  -   </v>
      </c>
      <c r="K205" s="93"/>
      <c r="L205" s="93"/>
    </row>
    <row r="206">
      <c r="A206" s="358" t="str">
        <f t="shared" si="95"/>
        <v> Chilli</v>
      </c>
      <c r="B206" s="87" t="s">
        <v>620</v>
      </c>
      <c r="C206" s="91"/>
      <c r="D206" s="360" t="str">
        <f>(B147*(1-'5.Closing Stock &amp; W Capital'!$D$16))*$C206*D$172</f>
        <v>  -   </v>
      </c>
      <c r="E206" s="360" t="str">
        <f>((C147*(1-'5.Closing Stock &amp; W Capital'!$D$16))+(B147*'5.Closing Stock &amp; W Capital'!$D$16))*$C206*E$172</f>
        <v>  -   </v>
      </c>
      <c r="F206" s="360" t="str">
        <f>((D147*(1-'5.Closing Stock &amp; W Capital'!$D$16))+(C147*'5.Closing Stock &amp; W Capital'!$D$16))*$C206*F$172</f>
        <v>  -   </v>
      </c>
      <c r="G206" s="360" t="str">
        <f>((E147*(1-'5.Closing Stock &amp; W Capital'!$D$16))+(D147*'5.Closing Stock &amp; W Capital'!$D$16))*$C206*G$172</f>
        <v>  -   </v>
      </c>
      <c r="H206" s="360" t="str">
        <f>((F147*(1-'5.Closing Stock &amp; W Capital'!$D$16))+(E147*'5.Closing Stock &amp; W Capital'!$D$16))*$C206*H$172</f>
        <v>  -   </v>
      </c>
      <c r="I206" s="360" t="str">
        <f>((G147*(1-'5.Closing Stock &amp; W Capital'!$D$16))+(F147*'5.Closing Stock &amp; W Capital'!$D$16))*$C206*I$172</f>
        <v>  -   </v>
      </c>
      <c r="J206" s="360" t="str">
        <f>((H147*(1-'5.Closing Stock &amp; W Capital'!$D$16))+(G147*'5.Closing Stock &amp; W Capital'!$D$16))*$C206*J$172</f>
        <v>  -   </v>
      </c>
      <c r="K206" s="93"/>
      <c r="L206" s="93"/>
    </row>
    <row r="207">
      <c r="A207" s="358" t="str">
        <f t="shared" si="95"/>
        <v> Potato</v>
      </c>
      <c r="B207" s="87" t="s">
        <v>620</v>
      </c>
      <c r="C207" s="91"/>
      <c r="D207" s="360" t="str">
        <f>(B148*(1-'5.Closing Stock &amp; W Capital'!$D$16))*$C207*D$172</f>
        <v>  -   </v>
      </c>
      <c r="E207" s="360" t="str">
        <f>((C148*(1-'5.Closing Stock &amp; W Capital'!$D$16))+(B148*'5.Closing Stock &amp; W Capital'!$D$16))*$C207*E$172</f>
        <v>  -   </v>
      </c>
      <c r="F207" s="360" t="str">
        <f>((D148*(1-'5.Closing Stock &amp; W Capital'!$D$16))+(C148*'5.Closing Stock &amp; W Capital'!$D$16))*$C207*F$172</f>
        <v>  -   </v>
      </c>
      <c r="G207" s="360" t="str">
        <f>((E148*(1-'5.Closing Stock &amp; W Capital'!$D$16))+(D148*'5.Closing Stock &amp; W Capital'!$D$16))*$C207*G$172</f>
        <v>  -   </v>
      </c>
      <c r="H207" s="360" t="str">
        <f>((F148*(1-'5.Closing Stock &amp; W Capital'!$D$16))+(E148*'5.Closing Stock &amp; W Capital'!$D$16))*$C207*H$172</f>
        <v>  -   </v>
      </c>
      <c r="I207" s="360" t="str">
        <f>((G148*(1-'5.Closing Stock &amp; W Capital'!$D$16))+(F148*'5.Closing Stock &amp; W Capital'!$D$16))*$C207*I$172</f>
        <v>  -   </v>
      </c>
      <c r="J207" s="360" t="str">
        <f>((H148*(1-'5.Closing Stock &amp; W Capital'!$D$16))+(G148*'5.Closing Stock &amp; W Capital'!$D$16))*$C207*J$172</f>
        <v>  -   </v>
      </c>
      <c r="K207" s="93"/>
      <c r="L207" s="93"/>
    </row>
    <row r="208">
      <c r="A208" s="358" t="str">
        <f t="shared" si="95"/>
        <v/>
      </c>
      <c r="B208" s="87" t="s">
        <v>620</v>
      </c>
      <c r="C208" s="90"/>
      <c r="D208" s="360" t="str">
        <f>(B149*(1-'5.Closing Stock &amp; W Capital'!$D$16))*$C208*D$172</f>
        <v>  -   </v>
      </c>
      <c r="E208" s="360" t="str">
        <f>((C149*(1-'5.Closing Stock &amp; W Capital'!$D$16))+(B149*'5.Closing Stock &amp; W Capital'!$D$16))*$C208*E$172</f>
        <v>  -   </v>
      </c>
      <c r="F208" s="360" t="str">
        <f>((D149*(1-'5.Closing Stock &amp; W Capital'!$D$16))+(C149*'5.Closing Stock &amp; W Capital'!$D$16))*$C208*F$172</f>
        <v>  -   </v>
      </c>
      <c r="G208" s="360" t="str">
        <f>((E149*(1-'5.Closing Stock &amp; W Capital'!$D$16))+(D149*'5.Closing Stock &amp; W Capital'!$D$16))*$C208*G$172</f>
        <v>  -   </v>
      </c>
      <c r="H208" s="360" t="str">
        <f>((F149*(1-'5.Closing Stock &amp; W Capital'!$D$16))+(E149*'5.Closing Stock &amp; W Capital'!$D$16))*$C208*H$172</f>
        <v>  -   </v>
      </c>
      <c r="I208" s="360" t="str">
        <f>((G149*(1-'5.Closing Stock &amp; W Capital'!$D$16))+(F149*'5.Closing Stock &amp; W Capital'!$D$16))*$C208*I$172</f>
        <v>  -   </v>
      </c>
      <c r="J208" s="360" t="str">
        <f>((H149*(1-'5.Closing Stock &amp; W Capital'!$D$16))+(G149*'5.Closing Stock &amp; W Capital'!$D$16))*$C208*J$172</f>
        <v>  -   </v>
      </c>
      <c r="K208" s="93"/>
      <c r="L208" s="93"/>
    </row>
    <row r="209">
      <c r="A209" s="358" t="str">
        <f t="shared" si="95"/>
        <v/>
      </c>
      <c r="B209" s="87" t="s">
        <v>620</v>
      </c>
      <c r="C209" s="90"/>
      <c r="D209" s="360" t="str">
        <f>(B150*(1-'5.Closing Stock &amp; W Capital'!$D$16))*$C209*D$172</f>
        <v>  -   </v>
      </c>
      <c r="E209" s="360" t="str">
        <f>((C150*(1-'5.Closing Stock &amp; W Capital'!$D$16))+(B150*'5.Closing Stock &amp; W Capital'!$D$16))*$C209*E$172</f>
        <v>  -   </v>
      </c>
      <c r="F209" s="360" t="str">
        <f>((D150*(1-'5.Closing Stock &amp; W Capital'!$D$16))+(C150*'5.Closing Stock &amp; W Capital'!$D$16))*$C209*F$172</f>
        <v>  -   </v>
      </c>
      <c r="G209" s="360" t="str">
        <f>((E150*(1-'5.Closing Stock &amp; W Capital'!$D$16))+(D150*'5.Closing Stock &amp; W Capital'!$D$16))*$C209*G$172</f>
        <v>  -   </v>
      </c>
      <c r="H209" s="360" t="str">
        <f>((F150*(1-'5.Closing Stock &amp; W Capital'!$D$16))+(E150*'5.Closing Stock &amp; W Capital'!$D$16))*$C209*H$172</f>
        <v>  -   </v>
      </c>
      <c r="I209" s="360" t="str">
        <f>((G150*(1-'5.Closing Stock &amp; W Capital'!$D$16))+(F150*'5.Closing Stock &amp; W Capital'!$D$16))*$C209*I$172</f>
        <v>  -   </v>
      </c>
      <c r="J209" s="360" t="str">
        <f>((H150*(1-'5.Closing Stock &amp; W Capital'!$D$16))+(G150*'5.Closing Stock &amp; W Capital'!$D$16))*$C209*J$172</f>
        <v>  -   </v>
      </c>
      <c r="K209" s="93"/>
      <c r="L209" s="93"/>
    </row>
    <row r="210">
      <c r="A210" s="358" t="str">
        <f t="shared" si="95"/>
        <v/>
      </c>
      <c r="B210" s="87" t="s">
        <v>620</v>
      </c>
      <c r="C210" s="90"/>
      <c r="D210" s="360" t="str">
        <f>(B151*(1-'5.Closing Stock &amp; W Capital'!$D$16))*$C210*D$172</f>
        <v>  -   </v>
      </c>
      <c r="E210" s="360" t="str">
        <f>((C151*(1-'5.Closing Stock &amp; W Capital'!$D$16))+(B151*'5.Closing Stock &amp; W Capital'!$D$16))*$C210*E$172</f>
        <v>  -   </v>
      </c>
      <c r="F210" s="360" t="str">
        <f>((D151*(1-'5.Closing Stock &amp; W Capital'!$D$16))+(C151*'5.Closing Stock &amp; W Capital'!$D$16))*$C210*F$172</f>
        <v>  -   </v>
      </c>
      <c r="G210" s="360" t="str">
        <f>((E151*(1-'5.Closing Stock &amp; W Capital'!$D$16))+(D151*'5.Closing Stock &amp; W Capital'!$D$16))*$C210*G$172</f>
        <v>  -   </v>
      </c>
      <c r="H210" s="360" t="str">
        <f>((F151*(1-'5.Closing Stock &amp; W Capital'!$D$16))+(E151*'5.Closing Stock &amp; W Capital'!$D$16))*$C210*H$172</f>
        <v>  -   </v>
      </c>
      <c r="I210" s="360" t="str">
        <f>((G151*(1-'5.Closing Stock &amp; W Capital'!$D$16))+(F151*'5.Closing Stock &amp; W Capital'!$D$16))*$C210*I$172</f>
        <v>  -   </v>
      </c>
      <c r="J210" s="360" t="str">
        <f>((H151*(1-'5.Closing Stock &amp; W Capital'!$D$16))+(G151*'5.Closing Stock &amp; W Capital'!$D$16))*$C210*J$172</f>
        <v>  -   </v>
      </c>
      <c r="K210" s="93"/>
      <c r="L210" s="93"/>
    </row>
    <row r="211">
      <c r="A211" s="358" t="str">
        <f t="shared" si="95"/>
        <v/>
      </c>
      <c r="B211" s="87" t="s">
        <v>620</v>
      </c>
      <c r="C211" s="90"/>
      <c r="D211" s="360" t="str">
        <f>(B152*(1-'5.Closing Stock &amp; W Capital'!$D$16))*$C211*D$172</f>
        <v>  -   </v>
      </c>
      <c r="E211" s="360" t="str">
        <f>((C152*(1-'5.Closing Stock &amp; W Capital'!$D$16))+(B152*'5.Closing Stock &amp; W Capital'!$D$16))*$C211*E$172</f>
        <v>  -   </v>
      </c>
      <c r="F211" s="360" t="str">
        <f>((D152*(1-'5.Closing Stock &amp; W Capital'!$D$16))+(C152*'5.Closing Stock &amp; W Capital'!$D$16))*$C211*F$172</f>
        <v>  -   </v>
      </c>
      <c r="G211" s="360" t="str">
        <f>((E152*(1-'5.Closing Stock &amp; W Capital'!$D$16))+(D152*'5.Closing Stock &amp; W Capital'!$D$16))*$C211*G$172</f>
        <v>  -   </v>
      </c>
      <c r="H211" s="360" t="str">
        <f>((F152*(1-'5.Closing Stock &amp; W Capital'!$D$16))+(E152*'5.Closing Stock &amp; W Capital'!$D$16))*$C211*H$172</f>
        <v>  -   </v>
      </c>
      <c r="I211" s="360" t="str">
        <f>((G152*(1-'5.Closing Stock &amp; W Capital'!$D$16))+(F152*'5.Closing Stock &amp; W Capital'!$D$16))*$C211*I$172</f>
        <v>  -   </v>
      </c>
      <c r="J211" s="360" t="str">
        <f>((H152*(1-'5.Closing Stock &amp; W Capital'!$D$16))+(G152*'5.Closing Stock &amp; W Capital'!$D$16))*$C211*J$172</f>
        <v>  -   </v>
      </c>
      <c r="K211" s="93"/>
      <c r="L211" s="93"/>
    </row>
    <row r="212">
      <c r="A212" s="358" t="str">
        <f t="shared" si="95"/>
        <v> Onion</v>
      </c>
      <c r="B212" s="87" t="s">
        <v>620</v>
      </c>
      <c r="C212" s="91"/>
      <c r="D212" s="360" t="str">
        <f>(B153*(1-'5.Closing Stock &amp; W Capital'!$D$16))*$C212*D$172</f>
        <v>  -   </v>
      </c>
      <c r="E212" s="360" t="str">
        <f>((C153*(1-'5.Closing Stock &amp; W Capital'!$D$16))+(B153*'5.Closing Stock &amp; W Capital'!$D$16))*$C212*E$172</f>
        <v>  -   </v>
      </c>
      <c r="F212" s="360" t="str">
        <f>((D153*(1-'5.Closing Stock &amp; W Capital'!$D$16))+(C153*'5.Closing Stock &amp; W Capital'!$D$16))*$C212*F$172</f>
        <v>  -   </v>
      </c>
      <c r="G212" s="360" t="str">
        <f>((E153*(1-'5.Closing Stock &amp; W Capital'!$D$16))+(D153*'5.Closing Stock &amp; W Capital'!$D$16))*$C212*G$172</f>
        <v>  -   </v>
      </c>
      <c r="H212" s="360" t="str">
        <f>((F153*(1-'5.Closing Stock &amp; W Capital'!$D$16))+(E153*'5.Closing Stock &amp; W Capital'!$D$16))*$C212*H$172</f>
        <v>  -   </v>
      </c>
      <c r="I212" s="360" t="str">
        <f>((G153*(1-'5.Closing Stock &amp; W Capital'!$D$16))+(F153*'5.Closing Stock &amp; W Capital'!$D$16))*$C212*I$172</f>
        <v>  -   </v>
      </c>
      <c r="J212" s="360" t="str">
        <f>((H153*(1-'5.Closing Stock &amp; W Capital'!$D$16))+(G153*'5.Closing Stock &amp; W Capital'!$D$16))*$C212*J$172</f>
        <v>  -   </v>
      </c>
      <c r="K212" s="93"/>
      <c r="L212" s="93"/>
    </row>
    <row r="213">
      <c r="A213" s="358" t="str">
        <f t="shared" si="95"/>
        <v> Tomato</v>
      </c>
      <c r="B213" s="87" t="s">
        <v>620</v>
      </c>
      <c r="C213" s="91"/>
      <c r="D213" s="360" t="str">
        <f>(B154*(1-'5.Closing Stock &amp; W Capital'!$D$16))*$C213*D$172</f>
        <v>  -   </v>
      </c>
      <c r="E213" s="360" t="str">
        <f>((C154*(1-'5.Closing Stock &amp; W Capital'!$D$16))+(B154*'5.Closing Stock &amp; W Capital'!$D$16))*$C213*E$172</f>
        <v>  -   </v>
      </c>
      <c r="F213" s="360" t="str">
        <f>((D154*(1-'5.Closing Stock &amp; W Capital'!$D$16))+(C154*'5.Closing Stock &amp; W Capital'!$D$16))*$C213*F$172</f>
        <v>  -   </v>
      </c>
      <c r="G213" s="360" t="str">
        <f>((E154*(1-'5.Closing Stock &amp; W Capital'!$D$16))+(D154*'5.Closing Stock &amp; W Capital'!$D$16))*$C213*G$172</f>
        <v>  -   </v>
      </c>
      <c r="H213" s="360" t="str">
        <f>((F154*(1-'5.Closing Stock &amp; W Capital'!$D$16))+(E154*'5.Closing Stock &amp; W Capital'!$D$16))*$C213*H$172</f>
        <v>  -   </v>
      </c>
      <c r="I213" s="360" t="str">
        <f>((G154*(1-'5.Closing Stock &amp; W Capital'!$D$16))+(F154*'5.Closing Stock &amp; W Capital'!$D$16))*$C213*I$172</f>
        <v>  -   </v>
      </c>
      <c r="J213" s="360" t="str">
        <f>((H154*(1-'5.Closing Stock &amp; W Capital'!$D$16))+(G154*'5.Closing Stock &amp; W Capital'!$D$16))*$C213*J$172</f>
        <v>  -   </v>
      </c>
      <c r="K213" s="93"/>
      <c r="L213" s="93"/>
    </row>
    <row r="214">
      <c r="A214" s="358" t="str">
        <f t="shared" si="95"/>
        <v> Okra</v>
      </c>
      <c r="B214" s="87" t="s">
        <v>620</v>
      </c>
      <c r="C214" s="91"/>
      <c r="D214" s="360" t="str">
        <f>(B155*(1-'5.Closing Stock &amp; W Capital'!$D$16))*$C214*D$172</f>
        <v>  -   </v>
      </c>
      <c r="E214" s="360" t="str">
        <f>((C155*(1-'5.Closing Stock &amp; W Capital'!$D$16))+(B155*'5.Closing Stock &amp; W Capital'!$D$16))*$C214*E$172</f>
        <v>  -   </v>
      </c>
      <c r="F214" s="360" t="str">
        <f>((D155*(1-'5.Closing Stock &amp; W Capital'!$D$16))+(C155*'5.Closing Stock &amp; W Capital'!$D$16))*$C214*F$172</f>
        <v>  -   </v>
      </c>
      <c r="G214" s="360" t="str">
        <f>((E155*(1-'5.Closing Stock &amp; W Capital'!$D$16))+(D155*'5.Closing Stock &amp; W Capital'!$D$16))*$C214*G$172</f>
        <v>  -   </v>
      </c>
      <c r="H214" s="360" t="str">
        <f>((F155*(1-'5.Closing Stock &amp; W Capital'!$D$16))+(E155*'5.Closing Stock &amp; W Capital'!$D$16))*$C214*H$172</f>
        <v>  -   </v>
      </c>
      <c r="I214" s="360" t="str">
        <f>((G155*(1-'5.Closing Stock &amp; W Capital'!$D$16))+(F155*'5.Closing Stock &amp; W Capital'!$D$16))*$C214*I$172</f>
        <v>  -   </v>
      </c>
      <c r="J214" s="360" t="str">
        <f>((H155*(1-'5.Closing Stock &amp; W Capital'!$D$16))+(G155*'5.Closing Stock &amp; W Capital'!$D$16))*$C214*J$172</f>
        <v>  -   </v>
      </c>
      <c r="K214" s="93"/>
      <c r="L214" s="93"/>
    </row>
    <row r="215">
      <c r="A215" s="358" t="str">
        <f t="shared" si="95"/>
        <v> Chilli</v>
      </c>
      <c r="B215" s="87" t="s">
        <v>620</v>
      </c>
      <c r="C215" s="91"/>
      <c r="D215" s="360" t="str">
        <f>(B156*(1-'5.Closing Stock &amp; W Capital'!$D$16))*$C215*D$172</f>
        <v>  -   </v>
      </c>
      <c r="E215" s="360" t="str">
        <f>((C156*(1-'5.Closing Stock &amp; W Capital'!$D$16))+(B156*'5.Closing Stock &amp; W Capital'!$D$16))*$C215*E$172</f>
        <v>  -   </v>
      </c>
      <c r="F215" s="360" t="str">
        <f>((D156*(1-'5.Closing Stock &amp; W Capital'!$D$16))+(C156*'5.Closing Stock &amp; W Capital'!$D$16))*$C215*F$172</f>
        <v>  -   </v>
      </c>
      <c r="G215" s="360" t="str">
        <f>((E156*(1-'5.Closing Stock &amp; W Capital'!$D$16))+(D156*'5.Closing Stock &amp; W Capital'!$D$16))*$C215*G$172</f>
        <v>  -   </v>
      </c>
      <c r="H215" s="360" t="str">
        <f>((F156*(1-'5.Closing Stock &amp; W Capital'!$D$16))+(E156*'5.Closing Stock &amp; W Capital'!$D$16))*$C215*H$172</f>
        <v>  -   </v>
      </c>
      <c r="I215" s="360" t="str">
        <f>((G156*(1-'5.Closing Stock &amp; W Capital'!$D$16))+(F156*'5.Closing Stock &amp; W Capital'!$D$16))*$C215*I$172</f>
        <v>  -   </v>
      </c>
      <c r="J215" s="360" t="str">
        <f>((H156*(1-'5.Closing Stock &amp; W Capital'!$D$16))+(G156*'5.Closing Stock &amp; W Capital'!$D$16))*$C215*J$172</f>
        <v>  -   </v>
      </c>
      <c r="K215" s="93"/>
      <c r="L215" s="93"/>
    </row>
    <row r="216">
      <c r="A216" s="358" t="str">
        <f t="shared" si="95"/>
        <v> Brinjal</v>
      </c>
      <c r="B216" s="87" t="s">
        <v>620</v>
      </c>
      <c r="C216" s="91"/>
      <c r="D216" s="360" t="str">
        <f>(B157*(1-'5.Closing Stock &amp; W Capital'!$D$16))*$C216*D$172</f>
        <v>  -   </v>
      </c>
      <c r="E216" s="360" t="str">
        <f>((C157*(1-'5.Closing Stock &amp; W Capital'!$D$16))+(B157*'5.Closing Stock &amp; W Capital'!$D$16))*$C216*E$172</f>
        <v>  -   </v>
      </c>
      <c r="F216" s="360" t="str">
        <f>((D157*(1-'5.Closing Stock &amp; W Capital'!$D$16))+(C157*'5.Closing Stock &amp; W Capital'!$D$16))*$C216*F$172</f>
        <v>  -   </v>
      </c>
      <c r="G216" s="360" t="str">
        <f>((E157*(1-'5.Closing Stock &amp; W Capital'!$D$16))+(D157*'5.Closing Stock &amp; W Capital'!$D$16))*$C216*G$172</f>
        <v>  -   </v>
      </c>
      <c r="H216" s="360" t="str">
        <f>((F157*(1-'5.Closing Stock &amp; W Capital'!$D$16))+(E157*'5.Closing Stock &amp; W Capital'!$D$16))*$C216*H$172</f>
        <v>  -   </v>
      </c>
      <c r="I216" s="360" t="str">
        <f>((G157*(1-'5.Closing Stock &amp; W Capital'!$D$16))+(F157*'5.Closing Stock &amp; W Capital'!$D$16))*$C216*I$172</f>
        <v>  -   </v>
      </c>
      <c r="J216" s="360" t="str">
        <f>((H157*(1-'5.Closing Stock &amp; W Capital'!$D$16))+(G157*'5.Closing Stock &amp; W Capital'!$D$16))*$C216*J$172</f>
        <v>  -   </v>
      </c>
      <c r="K216" s="93"/>
      <c r="L216" s="93"/>
    </row>
    <row r="217">
      <c r="A217" s="358" t="str">
        <f t="shared" si="95"/>
        <v/>
      </c>
      <c r="B217" s="87" t="s">
        <v>620</v>
      </c>
      <c r="C217" s="91"/>
      <c r="D217" s="360" t="str">
        <f>(B158*(1-'5.Closing Stock &amp; W Capital'!$D$16))*$C217*D$172</f>
        <v>  -   </v>
      </c>
      <c r="E217" s="360" t="str">
        <f>((C158*(1-'5.Closing Stock &amp; W Capital'!$D$16))+(B158*'5.Closing Stock &amp; W Capital'!$D$16))*$C217*E$172</f>
        <v>  -   </v>
      </c>
      <c r="F217" s="360" t="str">
        <f>((D158*(1-'5.Closing Stock &amp; W Capital'!$D$16))+(C158*'5.Closing Stock &amp; W Capital'!$D$16))*$C217*F$172</f>
        <v>  -   </v>
      </c>
      <c r="G217" s="360" t="str">
        <f>((E158*(1-'5.Closing Stock &amp; W Capital'!$D$16))+(D158*'5.Closing Stock &amp; W Capital'!$D$16))*$C217*G$172</f>
        <v>  -   </v>
      </c>
      <c r="H217" s="360" t="str">
        <f>((F158*(1-'5.Closing Stock &amp; W Capital'!$D$16))+(E158*'5.Closing Stock &amp; W Capital'!$D$16))*$C217*H$172</f>
        <v>  -   </v>
      </c>
      <c r="I217" s="360" t="str">
        <f>((G158*(1-'5.Closing Stock &amp; W Capital'!$D$16))+(F158*'5.Closing Stock &amp; W Capital'!$D$16))*$C217*I$172</f>
        <v>  -   </v>
      </c>
      <c r="J217" s="360" t="str">
        <f>((H158*(1-'5.Closing Stock &amp; W Capital'!$D$16))+(G158*'5.Closing Stock &amp; W Capital'!$D$16))*$C217*J$172</f>
        <v>  -   </v>
      </c>
      <c r="K217" s="93"/>
      <c r="L217" s="93"/>
    </row>
    <row r="218">
      <c r="A218" s="358" t="str">
        <f t="shared" si="95"/>
        <v/>
      </c>
      <c r="B218" s="87" t="s">
        <v>620</v>
      </c>
      <c r="C218" s="91"/>
      <c r="D218" s="360" t="str">
        <f>(B159*(1-'5.Closing Stock &amp; W Capital'!$D$16))*$C218*D$172</f>
        <v>  -   </v>
      </c>
      <c r="E218" s="360" t="str">
        <f>((C159*(1-'5.Closing Stock &amp; W Capital'!$D$16))+(B159*'5.Closing Stock &amp; W Capital'!$D$16))*$C218*E$172</f>
        <v>  -   </v>
      </c>
      <c r="F218" s="360" t="str">
        <f>((D159*(1-'5.Closing Stock &amp; W Capital'!$D$16))+(C159*'5.Closing Stock &amp; W Capital'!$D$16))*$C218*F$172</f>
        <v>  -   </v>
      </c>
      <c r="G218" s="360" t="str">
        <f>((E159*(1-'5.Closing Stock &amp; W Capital'!$D$16))+(D159*'5.Closing Stock &amp; W Capital'!$D$16))*$C218*G$172</f>
        <v>  -   </v>
      </c>
      <c r="H218" s="360" t="str">
        <f>((F159*(1-'5.Closing Stock &amp; W Capital'!$D$16))+(E159*'5.Closing Stock &amp; W Capital'!$D$16))*$C218*H$172</f>
        <v>  -   </v>
      </c>
      <c r="I218" s="360" t="str">
        <f>((G159*(1-'5.Closing Stock &amp; W Capital'!$D$16))+(F159*'5.Closing Stock &amp; W Capital'!$D$16))*$C218*I$172</f>
        <v>  -   </v>
      </c>
      <c r="J218" s="360" t="str">
        <f>((H159*(1-'5.Closing Stock &amp; W Capital'!$D$16))+(G159*'5.Closing Stock &amp; W Capital'!$D$16))*$C218*J$172</f>
        <v>  -   </v>
      </c>
      <c r="K218" s="93"/>
      <c r="L218" s="93"/>
    </row>
    <row r="219">
      <c r="A219" s="358" t="str">
        <f t="shared" si="95"/>
        <v/>
      </c>
      <c r="B219" s="87" t="s">
        <v>620</v>
      </c>
      <c r="C219" s="91"/>
      <c r="D219" s="360" t="str">
        <f>(B160*(1-'5.Closing Stock &amp; W Capital'!$D$16))*$C219*D$172</f>
        <v>  -   </v>
      </c>
      <c r="E219" s="360" t="str">
        <f>((C160*(1-'5.Closing Stock &amp; W Capital'!$D$16))+(B160*'5.Closing Stock &amp; W Capital'!$D$16))*$C219*E$172</f>
        <v>  -   </v>
      </c>
      <c r="F219" s="360" t="str">
        <f>((D160*(1-'5.Closing Stock &amp; W Capital'!$D$16))+(C160*'5.Closing Stock &amp; W Capital'!$D$16))*$C219*F$172</f>
        <v>  -   </v>
      </c>
      <c r="G219" s="360" t="str">
        <f>((E160*(1-'5.Closing Stock &amp; W Capital'!$D$16))+(D160*'5.Closing Stock &amp; W Capital'!$D$16))*$C219*G$172</f>
        <v>  -   </v>
      </c>
      <c r="H219" s="360" t="str">
        <f>((F160*(1-'5.Closing Stock &amp; W Capital'!$D$16))+(E160*'5.Closing Stock &amp; W Capital'!$D$16))*$C219*H$172</f>
        <v>  -   </v>
      </c>
      <c r="I219" s="360" t="str">
        <f>((G160*(1-'5.Closing Stock &amp; W Capital'!$D$16))+(F160*'5.Closing Stock &amp; W Capital'!$D$16))*$C219*I$172</f>
        <v>  -   </v>
      </c>
      <c r="J219" s="360" t="str">
        <f>((H160*(1-'5.Closing Stock &amp; W Capital'!$D$16))+(G160*'5.Closing Stock &amp; W Capital'!$D$16))*$C219*J$172</f>
        <v>  -   </v>
      </c>
      <c r="K219" s="93"/>
      <c r="L219" s="93"/>
    </row>
    <row r="220">
      <c r="A220" s="358" t="str">
        <f t="shared" si="95"/>
        <v/>
      </c>
      <c r="B220" s="87" t="s">
        <v>620</v>
      </c>
      <c r="C220" s="91"/>
      <c r="D220" s="360" t="str">
        <f>(B161*(1-'5.Closing Stock &amp; W Capital'!$D$16))*$C220*D$172</f>
        <v>  -   </v>
      </c>
      <c r="E220" s="360" t="str">
        <f>((C161*(1-'5.Closing Stock &amp; W Capital'!$D$16))+(B161*'5.Closing Stock &amp; W Capital'!$D$16))*$C220*E$172</f>
        <v>  -   </v>
      </c>
      <c r="F220" s="360" t="str">
        <f>((D161*(1-'5.Closing Stock &amp; W Capital'!$D$16))+(C161*'5.Closing Stock &amp; W Capital'!$D$16))*$C220*F$172</f>
        <v>  -   </v>
      </c>
      <c r="G220" s="360" t="str">
        <f>((E161*(1-'5.Closing Stock &amp; W Capital'!$D$16))+(D161*'5.Closing Stock &amp; W Capital'!$D$16))*$C220*G$172</f>
        <v>  -   </v>
      </c>
      <c r="H220" s="360" t="str">
        <f>((F161*(1-'5.Closing Stock &amp; W Capital'!$D$16))+(E161*'5.Closing Stock &amp; W Capital'!$D$16))*$C220*H$172</f>
        <v>  -   </v>
      </c>
      <c r="I220" s="360" t="str">
        <f>((G161*(1-'5.Closing Stock &amp; W Capital'!$D$16))+(F161*'5.Closing Stock &amp; W Capital'!$D$16))*$C220*I$172</f>
        <v>  -   </v>
      </c>
      <c r="J220" s="360" t="str">
        <f>((H161*(1-'5.Closing Stock &amp; W Capital'!$D$16))+(G161*'5.Closing Stock &amp; W Capital'!$D$16))*$C220*J$172</f>
        <v>  -   </v>
      </c>
      <c r="K220" s="93"/>
      <c r="L220" s="93"/>
    </row>
    <row r="221">
      <c r="A221" s="358" t="str">
        <f t="shared" si="95"/>
        <v/>
      </c>
      <c r="B221" s="87" t="s">
        <v>620</v>
      </c>
      <c r="C221" s="91"/>
      <c r="D221" s="360" t="str">
        <f>(B162*(1-'5.Closing Stock &amp; W Capital'!$D$16))*$C221*D$172</f>
        <v>  -   </v>
      </c>
      <c r="E221" s="360" t="str">
        <f>((C162*(1-'5.Closing Stock &amp; W Capital'!$D$16))+(B162*'5.Closing Stock &amp; W Capital'!$D$16))*$C221*E$172</f>
        <v>  -   </v>
      </c>
      <c r="F221" s="360" t="str">
        <f>((D162*(1-'5.Closing Stock &amp; W Capital'!$D$16))+(C162*'5.Closing Stock &amp; W Capital'!$D$16))*$C221*F$172</f>
        <v>  -   </v>
      </c>
      <c r="G221" s="360" t="str">
        <f>((E162*(1-'5.Closing Stock &amp; W Capital'!$D$16))+(D162*'5.Closing Stock &amp; W Capital'!$D$16))*$C221*G$172</f>
        <v>  -   </v>
      </c>
      <c r="H221" s="360" t="str">
        <f>((F162*(1-'5.Closing Stock &amp; W Capital'!$D$16))+(E162*'5.Closing Stock &amp; W Capital'!$D$16))*$C221*H$172</f>
        <v>  -   </v>
      </c>
      <c r="I221" s="360" t="str">
        <f>((G162*(1-'5.Closing Stock &amp; W Capital'!$D$16))+(F162*'5.Closing Stock &amp; W Capital'!$D$16))*$C221*I$172</f>
        <v>  -   </v>
      </c>
      <c r="J221" s="360" t="str">
        <f>((H162*(1-'5.Closing Stock &amp; W Capital'!$D$16))+(G162*'5.Closing Stock &amp; W Capital'!$D$16))*$C221*J$172</f>
        <v>  -   </v>
      </c>
      <c r="K221" s="93"/>
      <c r="L221" s="93"/>
    </row>
    <row r="222">
      <c r="A222" s="358" t="str">
        <f t="shared" si="95"/>
        <v/>
      </c>
      <c r="B222" s="87" t="s">
        <v>620</v>
      </c>
      <c r="C222" s="91"/>
      <c r="D222" s="360" t="str">
        <f>(B163*(1-'5.Closing Stock &amp; W Capital'!$D$16))*$C222*D$172</f>
        <v>  -   </v>
      </c>
      <c r="E222" s="360" t="str">
        <f>((C163*(1-'5.Closing Stock &amp; W Capital'!$D$16))+(B163*'5.Closing Stock &amp; W Capital'!$D$16))*$C222*E$172</f>
        <v>  -   </v>
      </c>
      <c r="F222" s="360" t="str">
        <f>((D163*(1-'5.Closing Stock &amp; W Capital'!$D$16))+(C163*'5.Closing Stock &amp; W Capital'!$D$16))*$C222*F$172</f>
        <v>  -   </v>
      </c>
      <c r="G222" s="360" t="str">
        <f>((E163*(1-'5.Closing Stock &amp; W Capital'!$D$16))+(D163*'5.Closing Stock &amp; W Capital'!$D$16))*$C222*G$172</f>
        <v>  -   </v>
      </c>
      <c r="H222" s="360" t="str">
        <f>((F163*(1-'5.Closing Stock &amp; W Capital'!$D$16))+(E163*'5.Closing Stock &amp; W Capital'!$D$16))*$C222*H$172</f>
        <v>  -   </v>
      </c>
      <c r="I222" s="360" t="str">
        <f>((G163*(1-'5.Closing Stock &amp; W Capital'!$D$16))+(F163*'5.Closing Stock &amp; W Capital'!$D$16))*$C222*I$172</f>
        <v>  -   </v>
      </c>
      <c r="J222" s="360" t="str">
        <f>((H163*(1-'5.Closing Stock &amp; W Capital'!$D$16))+(G163*'5.Closing Stock &amp; W Capital'!$D$16))*$C222*J$172</f>
        <v>  -   </v>
      </c>
      <c r="K222" s="93"/>
      <c r="L222" s="93"/>
    </row>
    <row r="223">
      <c r="A223" s="358" t="str">
        <f t="shared" si="95"/>
        <v/>
      </c>
      <c r="B223" s="87" t="s">
        <v>620</v>
      </c>
      <c r="C223" s="91"/>
      <c r="D223" s="360" t="str">
        <f>(B164*(1-'5.Closing Stock &amp; W Capital'!$D$16))*$C223*D$172</f>
        <v>  -   </v>
      </c>
      <c r="E223" s="360" t="str">
        <f>((C164*(1-'5.Closing Stock &amp; W Capital'!$D$16))+(B164*'5.Closing Stock &amp; W Capital'!$D$16))*$C223*E$172</f>
        <v>  -   </v>
      </c>
      <c r="F223" s="360" t="str">
        <f>((D164*(1-'5.Closing Stock &amp; W Capital'!$D$16))+(C164*'5.Closing Stock &amp; W Capital'!$D$16))*$C223*F$172</f>
        <v>  -   </v>
      </c>
      <c r="G223" s="360" t="str">
        <f>((E164*(1-'5.Closing Stock &amp; W Capital'!$D$16))+(D164*'5.Closing Stock &amp; W Capital'!$D$16))*$C223*G$172</f>
        <v>  -   </v>
      </c>
      <c r="H223" s="360" t="str">
        <f>((F164*(1-'5.Closing Stock &amp; W Capital'!$D$16))+(E164*'5.Closing Stock &amp; W Capital'!$D$16))*$C223*H$172</f>
        <v>  -   </v>
      </c>
      <c r="I223" s="360" t="str">
        <f>((G164*(1-'5.Closing Stock &amp; W Capital'!$D$16))+(F164*'5.Closing Stock &amp; W Capital'!$D$16))*$C223*I$172</f>
        <v>  -   </v>
      </c>
      <c r="J223" s="360" t="str">
        <f>((H164*(1-'5.Closing Stock &amp; W Capital'!$D$16))+(G164*'5.Closing Stock &amp; W Capital'!$D$16))*$C223*J$172</f>
        <v>  -   </v>
      </c>
      <c r="K223" s="93"/>
      <c r="L223" s="93"/>
    </row>
    <row r="224">
      <c r="A224" s="358" t="str">
        <f t="shared" si="95"/>
        <v> Pomegranate</v>
      </c>
      <c r="B224" s="87" t="s">
        <v>620</v>
      </c>
      <c r="C224" s="91"/>
      <c r="D224" s="360" t="str">
        <f>(B165*(1-'5.Closing Stock &amp; W Capital'!$D$16))*$C224*D$172</f>
        <v>  -   </v>
      </c>
      <c r="E224" s="360" t="str">
        <f>((C165*(1-'5.Closing Stock &amp; W Capital'!$D$16))+(B165*'5.Closing Stock &amp; W Capital'!$D$16))*$C224*E$172</f>
        <v>  -   </v>
      </c>
      <c r="F224" s="360" t="str">
        <f>((D165*(1-'5.Closing Stock &amp; W Capital'!$D$16))+(C165*'5.Closing Stock &amp; W Capital'!$D$16))*$C224*F$172</f>
        <v>  -   </v>
      </c>
      <c r="G224" s="360" t="str">
        <f>((E165*(1-'5.Closing Stock &amp; W Capital'!$D$16))+(D165*'5.Closing Stock &amp; W Capital'!$D$16))*$C224*G$172</f>
        <v>  -   </v>
      </c>
      <c r="H224" s="360" t="str">
        <f>((F165*(1-'5.Closing Stock &amp; W Capital'!$D$16))+(E165*'5.Closing Stock &amp; W Capital'!$D$16))*$C224*H$172</f>
        <v>  -   </v>
      </c>
      <c r="I224" s="360" t="str">
        <f>((G165*(1-'5.Closing Stock &amp; W Capital'!$D$16))+(F165*'5.Closing Stock &amp; W Capital'!$D$16))*$C224*I$172</f>
        <v>  -   </v>
      </c>
      <c r="J224" s="360" t="str">
        <f>((H165*(1-'5.Closing Stock &amp; W Capital'!$D$16))+(G165*'5.Closing Stock &amp; W Capital'!$D$16))*$C224*J$172</f>
        <v>  -   </v>
      </c>
      <c r="K224" s="93"/>
      <c r="L224" s="93"/>
    </row>
    <row r="225">
      <c r="A225" s="358" t="str">
        <f t="shared" si="95"/>
        <v> Custard Apple</v>
      </c>
      <c r="B225" s="87" t="s">
        <v>620</v>
      </c>
      <c r="C225" s="91"/>
      <c r="D225" s="360" t="str">
        <f>(B166*(1-'5.Closing Stock &amp; W Capital'!$D$16))*$C225*D$172</f>
        <v>  -   </v>
      </c>
      <c r="E225" s="360" t="str">
        <f>((C166*(1-'5.Closing Stock &amp; W Capital'!$D$16))+(B166*'5.Closing Stock &amp; W Capital'!$D$16))*$C225*E$172</f>
        <v>  -   </v>
      </c>
      <c r="F225" s="360" t="str">
        <f>((D166*(1-'5.Closing Stock &amp; W Capital'!$D$16))+(C166*'5.Closing Stock &amp; W Capital'!$D$16))*$C225*F$172</f>
        <v>  -   </v>
      </c>
      <c r="G225" s="360" t="str">
        <f>((E166*(1-'5.Closing Stock &amp; W Capital'!$D$16))+(D166*'5.Closing Stock &amp; W Capital'!$D$16))*$C225*G$172</f>
        <v>  -   </v>
      </c>
      <c r="H225" s="360" t="str">
        <f>((F166*(1-'5.Closing Stock &amp; W Capital'!$D$16))+(E166*'5.Closing Stock &amp; W Capital'!$D$16))*$C225*H$172</f>
        <v>  -   </v>
      </c>
      <c r="I225" s="360" t="str">
        <f>((G166*(1-'5.Closing Stock &amp; W Capital'!$D$16))+(F166*'5.Closing Stock &amp; W Capital'!$D$16))*$C225*I$172</f>
        <v>  -   </v>
      </c>
      <c r="J225" s="360" t="str">
        <f>((H166*(1-'5.Closing Stock &amp; W Capital'!$D$16))+(G166*'5.Closing Stock &amp; W Capital'!$D$16))*$C225*J$172</f>
        <v>  -   </v>
      </c>
      <c r="K225" s="93"/>
      <c r="L225" s="93"/>
    </row>
    <row r="226">
      <c r="A226" s="358" t="str">
        <f t="shared" si="95"/>
        <v> Guava</v>
      </c>
      <c r="B226" s="87" t="s">
        <v>620</v>
      </c>
      <c r="C226" s="91"/>
      <c r="D226" s="360" t="str">
        <f>(B167*(1-'5.Closing Stock &amp; W Capital'!$D$16))*$C226*D$172</f>
        <v>  -   </v>
      </c>
      <c r="E226" s="360" t="str">
        <f>((C167*(1-'5.Closing Stock &amp; W Capital'!$D$16))+(B167*'5.Closing Stock &amp; W Capital'!$D$16))*$C226*E$172</f>
        <v>  -   </v>
      </c>
      <c r="F226" s="360" t="str">
        <f>((D167*(1-'5.Closing Stock &amp; W Capital'!$D$16))+(C167*'5.Closing Stock &amp; W Capital'!$D$16))*$C226*F$172</f>
        <v>  -   </v>
      </c>
      <c r="G226" s="360" t="str">
        <f>((E167*(1-'5.Closing Stock &amp; W Capital'!$D$16))+(D167*'5.Closing Stock &amp; W Capital'!$D$16))*$C226*G$172</f>
        <v>  -   </v>
      </c>
      <c r="H226" s="360" t="str">
        <f>((F167*(1-'5.Closing Stock &amp; W Capital'!$D$16))+(E167*'5.Closing Stock &amp; W Capital'!$D$16))*$C226*H$172</f>
        <v>  -   </v>
      </c>
      <c r="I226" s="360" t="str">
        <f>((G167*(1-'5.Closing Stock &amp; W Capital'!$D$16))+(F167*'5.Closing Stock &amp; W Capital'!$D$16))*$C226*I$172</f>
        <v>  -   </v>
      </c>
      <c r="J226" s="360" t="str">
        <f>((H167*(1-'5.Closing Stock &amp; W Capital'!$D$16))+(G167*'5.Closing Stock &amp; W Capital'!$D$16))*$C226*J$172</f>
        <v>  -   </v>
      </c>
      <c r="K226" s="93"/>
      <c r="L226" s="93"/>
    </row>
    <row r="227">
      <c r="A227" s="358" t="str">
        <f t="shared" si="95"/>
        <v> Citrus</v>
      </c>
      <c r="B227" s="87" t="s">
        <v>620</v>
      </c>
      <c r="C227" s="91"/>
      <c r="D227" s="360" t="str">
        <f>(B168*(1-'5.Closing Stock &amp; W Capital'!$D$16))*$C227*D$172</f>
        <v>  -   </v>
      </c>
      <c r="E227" s="360" t="str">
        <f>((C168*(1-'5.Closing Stock &amp; W Capital'!$D$16))+(B168*'5.Closing Stock &amp; W Capital'!$D$16))*$C227*E$172</f>
        <v>  -   </v>
      </c>
      <c r="F227" s="360" t="str">
        <f>((D168*(1-'5.Closing Stock &amp; W Capital'!$D$16))+(C168*'5.Closing Stock &amp; W Capital'!$D$16))*$C227*F$172</f>
        <v>  -   </v>
      </c>
      <c r="G227" s="360" t="str">
        <f>((E168*(1-'5.Closing Stock &amp; W Capital'!$D$16))+(D168*'5.Closing Stock &amp; W Capital'!$D$16))*$C227*G$172</f>
        <v>  -   </v>
      </c>
      <c r="H227" s="360" t="str">
        <f>((F168*(1-'5.Closing Stock &amp; W Capital'!$D$16))+(E168*'5.Closing Stock &amp; W Capital'!$D$16))*$C227*H$172</f>
        <v>  -   </v>
      </c>
      <c r="I227" s="360" t="str">
        <f>((G168*(1-'5.Closing Stock &amp; W Capital'!$D$16))+(F168*'5.Closing Stock &amp; W Capital'!$D$16))*$C227*I$172</f>
        <v>  -   </v>
      </c>
      <c r="J227" s="360" t="str">
        <f>((H168*(1-'5.Closing Stock &amp; W Capital'!$D$16))+(G168*'5.Closing Stock &amp; W Capital'!$D$16))*$C227*J$172</f>
        <v>  -   </v>
      </c>
      <c r="K227" s="93"/>
      <c r="L227" s="93"/>
    </row>
    <row r="228">
      <c r="A228" s="90"/>
      <c r="B228" s="90"/>
      <c r="C228" s="90"/>
      <c r="D228" s="87"/>
      <c r="E228" s="87"/>
      <c r="F228" s="87"/>
      <c r="G228" s="87"/>
      <c r="H228" s="87"/>
      <c r="I228" s="87"/>
      <c r="J228" s="87"/>
      <c r="K228" s="93"/>
      <c r="L228" s="93"/>
    </row>
    <row r="229">
      <c r="A229" s="90" t="s">
        <v>455</v>
      </c>
      <c r="B229" s="90"/>
      <c r="C229" s="90"/>
      <c r="D229" s="358" t="str">
        <f t="shared" ref="D229:J229" si="96">SUM(D178:D228)</f>
        <v>  105,016,485 </v>
      </c>
      <c r="E229" s="358" t="str">
        <f t="shared" si="96"/>
        <v>  123,478,761 </v>
      </c>
      <c r="F229" s="358" t="str">
        <f t="shared" si="96"/>
        <v>  141,460,163 </v>
      </c>
      <c r="G229" s="358" t="str">
        <f t="shared" si="96"/>
        <v>  160,931,007 </v>
      </c>
      <c r="H229" s="358" t="str">
        <f t="shared" si="96"/>
        <v>  181,995,286 </v>
      </c>
      <c r="I229" s="358" t="str">
        <f t="shared" si="96"/>
        <v>  204,763,664 </v>
      </c>
      <c r="J229" s="358" t="str">
        <f t="shared" si="96"/>
        <v>  229,353,893 </v>
      </c>
      <c r="K229" s="93"/>
      <c r="L229" s="93"/>
    </row>
    <row r="230">
      <c r="A230" s="87"/>
      <c r="B230" s="87"/>
      <c r="C230" s="87"/>
      <c r="D230" s="87"/>
      <c r="E230" s="87"/>
      <c r="F230" s="87"/>
      <c r="G230" s="87"/>
      <c r="H230" s="87"/>
      <c r="I230" s="87"/>
      <c r="J230" s="87"/>
      <c r="K230" s="93"/>
      <c r="L230" s="93"/>
    </row>
    <row r="231">
      <c r="A231" s="90" t="s">
        <v>622</v>
      </c>
      <c r="B231" s="90"/>
      <c r="C231" s="90"/>
      <c r="D231" s="87"/>
      <c r="E231" s="87"/>
      <c r="F231" s="87"/>
      <c r="G231" s="87"/>
      <c r="H231" s="87"/>
      <c r="I231" s="87"/>
      <c r="J231" s="87"/>
      <c r="K231" s="93"/>
      <c r="L231" s="93"/>
    </row>
    <row r="232">
      <c r="A232" s="90" t="s">
        <v>198</v>
      </c>
      <c r="B232" s="90"/>
      <c r="C232" s="87"/>
      <c r="D232" s="87"/>
      <c r="E232" s="87"/>
      <c r="F232" s="87"/>
      <c r="G232" s="87"/>
      <c r="H232" s="87"/>
      <c r="I232" s="87"/>
      <c r="J232" s="87"/>
      <c r="K232" s="93"/>
      <c r="L232" s="93"/>
    </row>
    <row r="233">
      <c r="A233" s="360" t="str">
        <f t="shared" ref="A233:A254" si="99">A178</f>
        <v> Soybean</v>
      </c>
      <c r="B233" s="87" t="s">
        <v>620</v>
      </c>
      <c r="C233" s="88">
        <v>7000.0</v>
      </c>
      <c r="D233" s="88" t="str">
        <f t="shared" ref="D233:E233" si="97">B68*$C$233*D$172</f>
        <v>  64,159,200 </v>
      </c>
      <c r="E233" s="88" t="str">
        <f t="shared" si="97"/>
        <v>  74,103,876 </v>
      </c>
      <c r="F233" s="88" t="str">
        <f t="shared" ref="F233:J233" si="98">D68*$C$233*F172</f>
        <v>  84,882,622 </v>
      </c>
      <c r="G233" s="88" t="str">
        <f t="shared" si="98"/>
        <v>  96,553,982 </v>
      </c>
      <c r="H233" s="88" t="str">
        <f t="shared" si="98"/>
        <v>  109,180,272 </v>
      </c>
      <c r="I233" s="88" t="str">
        <f t="shared" si="98"/>
        <v>  122,827,806 </v>
      </c>
      <c r="J233" s="88" t="str">
        <f t="shared" si="98"/>
        <v>  137,567,143 </v>
      </c>
      <c r="K233" s="93"/>
      <c r="L233" s="93"/>
    </row>
    <row r="234">
      <c r="A234" s="360" t="str">
        <f t="shared" si="99"/>
        <v> Red Gram/Tur</v>
      </c>
      <c r="B234" s="87" t="s">
        <v>620</v>
      </c>
      <c r="C234" s="88">
        <v>6500.0</v>
      </c>
      <c r="D234" s="88" t="str">
        <f>B69*$C$234*D$172</f>
        <v>  10,425,870 </v>
      </c>
      <c r="E234" s="88" t="str">
        <f t="shared" ref="E234:J234" si="100">C69*$C$234*E172</f>
        <v>  12,041,880 </v>
      </c>
      <c r="F234" s="88" t="str">
        <f t="shared" si="100"/>
        <v>  13,793,426 </v>
      </c>
      <c r="G234" s="88" t="str">
        <f t="shared" si="100"/>
        <v>  15,690,022 </v>
      </c>
      <c r="H234" s="88" t="str">
        <f t="shared" si="100"/>
        <v>  17,741,794 </v>
      </c>
      <c r="I234" s="88" t="str">
        <f t="shared" si="100"/>
        <v>  19,959,518 </v>
      </c>
      <c r="J234" s="88" t="str">
        <f t="shared" si="100"/>
        <v>  22,354,661 </v>
      </c>
      <c r="K234" s="93"/>
      <c r="L234" s="93"/>
    </row>
    <row r="235">
      <c r="A235" s="360" t="str">
        <f t="shared" si="99"/>
        <v> Paddy/Rice</v>
      </c>
      <c r="B235" s="87" t="s">
        <v>620</v>
      </c>
      <c r="C235" s="88"/>
      <c r="D235" s="88" t="str">
        <f>B70*$C$235*D$172</f>
        <v>  -   </v>
      </c>
      <c r="E235" s="88" t="str">
        <f t="shared" ref="E235:J235" si="101">C70*$C$235*E172</f>
        <v>  -   </v>
      </c>
      <c r="F235" s="88" t="str">
        <f t="shared" si="101"/>
        <v>  -   </v>
      </c>
      <c r="G235" s="88" t="str">
        <f t="shared" si="101"/>
        <v>  -   </v>
      </c>
      <c r="H235" s="88" t="str">
        <f t="shared" si="101"/>
        <v>  -   </v>
      </c>
      <c r="I235" s="88" t="str">
        <f t="shared" si="101"/>
        <v>  -   </v>
      </c>
      <c r="J235" s="88" t="str">
        <f t="shared" si="101"/>
        <v>  -   </v>
      </c>
      <c r="K235" s="93"/>
      <c r="L235" s="93"/>
    </row>
    <row r="236">
      <c r="A236" s="360" t="str">
        <f t="shared" si="99"/>
        <v> Green Gram/ Moong</v>
      </c>
      <c r="B236" s="87" t="s">
        <v>620</v>
      </c>
      <c r="C236" s="88"/>
      <c r="D236" s="88" t="str">
        <f t="shared" ref="D236:J236" si="102">B71*$C$236*D$172</f>
        <v>  -   </v>
      </c>
      <c r="E236" s="88" t="str">
        <f t="shared" si="102"/>
        <v>  -   </v>
      </c>
      <c r="F236" s="88" t="str">
        <f t="shared" si="102"/>
        <v>  -   </v>
      </c>
      <c r="G236" s="88" t="str">
        <f t="shared" si="102"/>
        <v>  -   </v>
      </c>
      <c r="H236" s="88" t="str">
        <f t="shared" si="102"/>
        <v>  -   </v>
      </c>
      <c r="I236" s="88" t="str">
        <f t="shared" si="102"/>
        <v>  -   </v>
      </c>
      <c r="J236" s="88" t="str">
        <f t="shared" si="102"/>
        <v>  -   </v>
      </c>
      <c r="K236" s="93"/>
      <c r="L236" s="93"/>
    </row>
    <row r="237">
      <c r="A237" s="360" t="str">
        <f t="shared" si="99"/>
        <v> Maize</v>
      </c>
      <c r="B237" s="87" t="s">
        <v>620</v>
      </c>
      <c r="C237" s="88"/>
      <c r="D237" s="88" t="str">
        <f t="shared" ref="D237:J237" si="103">B72*$C$237*D$172</f>
        <v>  -   </v>
      </c>
      <c r="E237" s="88" t="str">
        <f t="shared" si="103"/>
        <v>  -   </v>
      </c>
      <c r="F237" s="88" t="str">
        <f t="shared" si="103"/>
        <v>  -   </v>
      </c>
      <c r="G237" s="88" t="str">
        <f t="shared" si="103"/>
        <v>  -   </v>
      </c>
      <c r="H237" s="88" t="str">
        <f t="shared" si="103"/>
        <v>  -   </v>
      </c>
      <c r="I237" s="88" t="str">
        <f t="shared" si="103"/>
        <v>  -   </v>
      </c>
      <c r="J237" s="88" t="str">
        <f t="shared" si="103"/>
        <v>  -   </v>
      </c>
      <c r="K237" s="93"/>
      <c r="L237" s="93"/>
    </row>
    <row r="238">
      <c r="A238" s="360" t="str">
        <f t="shared" si="99"/>
        <v> Black Gram/Udid</v>
      </c>
      <c r="B238" s="87" t="s">
        <v>620</v>
      </c>
      <c r="C238" s="88"/>
      <c r="D238" s="88" t="str">
        <f t="shared" ref="D238:J238" si="104">B73*$C$238*D$172</f>
        <v>  -   </v>
      </c>
      <c r="E238" s="88" t="str">
        <f t="shared" si="104"/>
        <v>  -   </v>
      </c>
      <c r="F238" s="88" t="str">
        <f t="shared" si="104"/>
        <v>  -   </v>
      </c>
      <c r="G238" s="88" t="str">
        <f t="shared" si="104"/>
        <v>  -   </v>
      </c>
      <c r="H238" s="88" t="str">
        <f t="shared" si="104"/>
        <v>  -   </v>
      </c>
      <c r="I238" s="88" t="str">
        <f t="shared" si="104"/>
        <v>  -   </v>
      </c>
      <c r="J238" s="88" t="str">
        <f t="shared" si="104"/>
        <v>  -   </v>
      </c>
      <c r="K238" s="93"/>
      <c r="L238" s="93"/>
    </row>
    <row r="239">
      <c r="A239" s="360" t="str">
        <f t="shared" si="99"/>
        <v> Bajra</v>
      </c>
      <c r="B239" s="87" t="s">
        <v>620</v>
      </c>
      <c r="C239" s="88"/>
      <c r="D239" s="88" t="str">
        <f t="shared" ref="D239:J239" si="105">B74*$C$239*D$172</f>
        <v>  -   </v>
      </c>
      <c r="E239" s="88" t="str">
        <f t="shared" si="105"/>
        <v>  -   </v>
      </c>
      <c r="F239" s="88" t="str">
        <f t="shared" si="105"/>
        <v>  -   </v>
      </c>
      <c r="G239" s="88" t="str">
        <f t="shared" si="105"/>
        <v>  -   </v>
      </c>
      <c r="H239" s="88" t="str">
        <f t="shared" si="105"/>
        <v>  -   </v>
      </c>
      <c r="I239" s="88" t="str">
        <f t="shared" si="105"/>
        <v>  -   </v>
      </c>
      <c r="J239" s="88" t="str">
        <f t="shared" si="105"/>
        <v>  -   </v>
      </c>
      <c r="K239" s="93"/>
      <c r="L239" s="93"/>
    </row>
    <row r="240">
      <c r="A240" s="360" t="str">
        <f t="shared" si="99"/>
        <v> Jawar</v>
      </c>
      <c r="B240" s="87" t="s">
        <v>620</v>
      </c>
      <c r="C240" s="88"/>
      <c r="D240" s="88" t="str">
        <f t="shared" ref="D240:J240" si="106">B75*$C$240*D$172</f>
        <v>  -   </v>
      </c>
      <c r="E240" s="88" t="str">
        <f t="shared" si="106"/>
        <v>  -   </v>
      </c>
      <c r="F240" s="88" t="str">
        <f t="shared" si="106"/>
        <v>  -   </v>
      </c>
      <c r="G240" s="88" t="str">
        <f t="shared" si="106"/>
        <v>  -   </v>
      </c>
      <c r="H240" s="88" t="str">
        <f t="shared" si="106"/>
        <v>  -   </v>
      </c>
      <c r="I240" s="88" t="str">
        <f t="shared" si="106"/>
        <v>  -   </v>
      </c>
      <c r="J240" s="88" t="str">
        <f t="shared" si="106"/>
        <v>  -   </v>
      </c>
      <c r="K240" s="93"/>
      <c r="L240" s="93"/>
    </row>
    <row r="241">
      <c r="A241" s="360" t="str">
        <f t="shared" si="99"/>
        <v> Sunflower</v>
      </c>
      <c r="B241" s="87" t="s">
        <v>620</v>
      </c>
      <c r="C241" s="88"/>
      <c r="D241" s="88" t="str">
        <f t="shared" ref="D241:J241" si="107">B76*$C$241*D$172</f>
        <v>  -   </v>
      </c>
      <c r="E241" s="88" t="str">
        <f t="shared" si="107"/>
        <v>  -   </v>
      </c>
      <c r="F241" s="88" t="str">
        <f t="shared" si="107"/>
        <v>  -   </v>
      </c>
      <c r="G241" s="88" t="str">
        <f t="shared" si="107"/>
        <v>  -   </v>
      </c>
      <c r="H241" s="88" t="str">
        <f t="shared" si="107"/>
        <v>  -   </v>
      </c>
      <c r="I241" s="88" t="str">
        <f t="shared" si="107"/>
        <v>  -   </v>
      </c>
      <c r="J241" s="88" t="str">
        <f t="shared" si="107"/>
        <v>  -   </v>
      </c>
      <c r="K241" s="93"/>
      <c r="L241" s="93"/>
    </row>
    <row r="242">
      <c r="A242" s="360" t="str">
        <f t="shared" si="99"/>
        <v> Wheat</v>
      </c>
      <c r="B242" s="87" t="s">
        <v>620</v>
      </c>
      <c r="C242" s="88"/>
      <c r="D242" s="88" t="str">
        <f t="shared" ref="D242:J242" si="108">B77*$C$242*D$172</f>
        <v>  -   </v>
      </c>
      <c r="E242" s="88" t="str">
        <f t="shared" si="108"/>
        <v>  -   </v>
      </c>
      <c r="F242" s="88" t="str">
        <f t="shared" si="108"/>
        <v>  -   </v>
      </c>
      <c r="G242" s="88" t="str">
        <f t="shared" si="108"/>
        <v>  -   </v>
      </c>
      <c r="H242" s="88" t="str">
        <f t="shared" si="108"/>
        <v>  -   </v>
      </c>
      <c r="I242" s="88" t="str">
        <f t="shared" si="108"/>
        <v>  -   </v>
      </c>
      <c r="J242" s="88" t="str">
        <f t="shared" si="108"/>
        <v>  -   </v>
      </c>
      <c r="K242" s="93"/>
      <c r="L242" s="93"/>
    </row>
    <row r="243">
      <c r="A243" s="360" t="str">
        <f t="shared" si="99"/>
        <v> Bengal Gram/Channa</v>
      </c>
      <c r="B243" s="87" t="s">
        <v>620</v>
      </c>
      <c r="C243" s="88">
        <v>6000.0</v>
      </c>
      <c r="D243" s="88" t="str">
        <f t="shared" ref="D243:J243" si="109">B78*$C$243*D$172</f>
        <v>  27,267,660 </v>
      </c>
      <c r="E243" s="88" t="str">
        <f t="shared" si="109"/>
        <v>  31,494,147 </v>
      </c>
      <c r="F243" s="88" t="str">
        <f t="shared" si="109"/>
        <v>  36,075,114 </v>
      </c>
      <c r="G243" s="88" t="str">
        <f t="shared" si="109"/>
        <v>  41,035,442 </v>
      </c>
      <c r="H243" s="88" t="str">
        <f t="shared" si="109"/>
        <v>  46,401,616 </v>
      </c>
      <c r="I243" s="88" t="str">
        <f t="shared" si="109"/>
        <v>  52,201,818 </v>
      </c>
      <c r="J243" s="88" t="str">
        <f t="shared" si="109"/>
        <v>  58,466,036 </v>
      </c>
      <c r="K243" s="93"/>
      <c r="L243" s="93"/>
    </row>
    <row r="244">
      <c r="A244" s="360" t="str">
        <f t="shared" si="99"/>
        <v> Jawar</v>
      </c>
      <c r="B244" s="87" t="s">
        <v>620</v>
      </c>
      <c r="C244" s="88"/>
      <c r="D244" s="88" t="str">
        <f t="shared" ref="D244:J244" si="110">B79*$C$244*D$172</f>
        <v>  -   </v>
      </c>
      <c r="E244" s="88" t="str">
        <f t="shared" si="110"/>
        <v>  -   </v>
      </c>
      <c r="F244" s="88" t="str">
        <f t="shared" si="110"/>
        <v>  -   </v>
      </c>
      <c r="G244" s="88" t="str">
        <f t="shared" si="110"/>
        <v>  -   </v>
      </c>
      <c r="H244" s="88" t="str">
        <f t="shared" si="110"/>
        <v>  -   </v>
      </c>
      <c r="I244" s="88" t="str">
        <f t="shared" si="110"/>
        <v>  -   </v>
      </c>
      <c r="J244" s="88" t="str">
        <f t="shared" si="110"/>
        <v>  -   </v>
      </c>
      <c r="K244" s="93"/>
      <c r="L244" s="93"/>
    </row>
    <row r="245">
      <c r="A245" s="360" t="str">
        <f t="shared" si="99"/>
        <v> Maize</v>
      </c>
      <c r="B245" s="87" t="s">
        <v>620</v>
      </c>
      <c r="C245" s="88"/>
      <c r="D245" s="88" t="str">
        <f t="shared" ref="D245:J245" si="111">B80*$C$245*D$172</f>
        <v>  -   </v>
      </c>
      <c r="E245" s="88" t="str">
        <f t="shared" si="111"/>
        <v>  -   </v>
      </c>
      <c r="F245" s="88" t="str">
        <f t="shared" si="111"/>
        <v>  -   </v>
      </c>
      <c r="G245" s="88" t="str">
        <f t="shared" si="111"/>
        <v>  -   </v>
      </c>
      <c r="H245" s="88" t="str">
        <f t="shared" si="111"/>
        <v>  -   </v>
      </c>
      <c r="I245" s="88" t="str">
        <f t="shared" si="111"/>
        <v>  -   </v>
      </c>
      <c r="J245" s="88" t="str">
        <f t="shared" si="111"/>
        <v>  -   </v>
      </c>
      <c r="K245" s="93"/>
      <c r="L245" s="93"/>
    </row>
    <row r="246">
      <c r="A246" s="360" t="str">
        <f t="shared" si="99"/>
        <v> Safflower</v>
      </c>
      <c r="B246" s="87" t="s">
        <v>620</v>
      </c>
      <c r="C246" s="88"/>
      <c r="D246" s="88" t="str">
        <f t="shared" ref="D246:J246" si="112">B81*$C$246*D$172</f>
        <v>  -   </v>
      </c>
      <c r="E246" s="88" t="str">
        <f t="shared" si="112"/>
        <v>  -   </v>
      </c>
      <c r="F246" s="88" t="str">
        <f t="shared" si="112"/>
        <v>  -   </v>
      </c>
      <c r="G246" s="88" t="str">
        <f t="shared" si="112"/>
        <v>  -   </v>
      </c>
      <c r="H246" s="88" t="str">
        <f t="shared" si="112"/>
        <v>  -   </v>
      </c>
      <c r="I246" s="88" t="str">
        <f t="shared" si="112"/>
        <v>  -   </v>
      </c>
      <c r="J246" s="88" t="str">
        <f t="shared" si="112"/>
        <v>  -   </v>
      </c>
      <c r="K246" s="93"/>
      <c r="L246" s="93"/>
    </row>
    <row r="247">
      <c r="A247" s="360" t="str">
        <f t="shared" si="99"/>
        <v/>
      </c>
      <c r="B247" s="87" t="s">
        <v>620</v>
      </c>
      <c r="C247" s="88"/>
      <c r="D247" s="88" t="str">
        <f t="shared" ref="D247:J247" si="113">B82*$C$247*D$172</f>
        <v>  -   </v>
      </c>
      <c r="E247" s="88" t="str">
        <f t="shared" si="113"/>
        <v>  -   </v>
      </c>
      <c r="F247" s="88" t="str">
        <f t="shared" si="113"/>
        <v>  -   </v>
      </c>
      <c r="G247" s="88" t="str">
        <f t="shared" si="113"/>
        <v>  -   </v>
      </c>
      <c r="H247" s="88" t="str">
        <f t="shared" si="113"/>
        <v>  -   </v>
      </c>
      <c r="I247" s="88" t="str">
        <f t="shared" si="113"/>
        <v>  -   </v>
      </c>
      <c r="J247" s="88" t="str">
        <f t="shared" si="113"/>
        <v>  -   </v>
      </c>
      <c r="K247" s="93"/>
      <c r="L247" s="93"/>
    </row>
    <row r="248">
      <c r="A248" s="360" t="str">
        <f t="shared" si="99"/>
        <v/>
      </c>
      <c r="B248" s="87" t="s">
        <v>620</v>
      </c>
      <c r="C248" s="88"/>
      <c r="D248" s="88" t="str">
        <f t="shared" ref="D248:J248" si="114">B83*$C$248*D$172</f>
        <v>  -   </v>
      </c>
      <c r="E248" s="88" t="str">
        <f t="shared" si="114"/>
        <v>  -   </v>
      </c>
      <c r="F248" s="88" t="str">
        <f t="shared" si="114"/>
        <v>  -   </v>
      </c>
      <c r="G248" s="88" t="str">
        <f t="shared" si="114"/>
        <v>  -   </v>
      </c>
      <c r="H248" s="88" t="str">
        <f t="shared" si="114"/>
        <v>  -   </v>
      </c>
      <c r="I248" s="88" t="str">
        <f t="shared" si="114"/>
        <v>  -   </v>
      </c>
      <c r="J248" s="88" t="str">
        <f t="shared" si="114"/>
        <v>  -   </v>
      </c>
      <c r="K248" s="93"/>
      <c r="L248" s="93"/>
    </row>
    <row r="249">
      <c r="A249" s="360" t="str">
        <f t="shared" si="99"/>
        <v/>
      </c>
      <c r="B249" s="87" t="s">
        <v>620</v>
      </c>
      <c r="C249" s="88"/>
      <c r="D249" s="88" t="str">
        <f t="shared" ref="D249:J249" si="115">B84*$C249*D$172</f>
        <v>  -   </v>
      </c>
      <c r="E249" s="88" t="str">
        <f t="shared" si="115"/>
        <v>  -   </v>
      </c>
      <c r="F249" s="88" t="str">
        <f t="shared" si="115"/>
        <v>  -   </v>
      </c>
      <c r="G249" s="88" t="str">
        <f t="shared" si="115"/>
        <v>  -   </v>
      </c>
      <c r="H249" s="88" t="str">
        <f t="shared" si="115"/>
        <v>  -   </v>
      </c>
      <c r="I249" s="88" t="str">
        <f t="shared" si="115"/>
        <v>  -   </v>
      </c>
      <c r="J249" s="88" t="str">
        <f t="shared" si="115"/>
        <v>  -   </v>
      </c>
      <c r="K249" s="93"/>
      <c r="L249" s="93"/>
    </row>
    <row r="250">
      <c r="A250" s="360" t="str">
        <f t="shared" si="99"/>
        <v> Groundnut</v>
      </c>
      <c r="B250" s="87" t="s">
        <v>620</v>
      </c>
      <c r="C250" s="88"/>
      <c r="D250" s="88" t="str">
        <f t="shared" ref="D250:J250" si="116">B85*$C250*D$172</f>
        <v>  -   </v>
      </c>
      <c r="E250" s="88" t="str">
        <f t="shared" si="116"/>
        <v>  -   </v>
      </c>
      <c r="F250" s="88" t="str">
        <f t="shared" si="116"/>
        <v>  -   </v>
      </c>
      <c r="G250" s="88" t="str">
        <f t="shared" si="116"/>
        <v>  -   </v>
      </c>
      <c r="H250" s="88" t="str">
        <f t="shared" si="116"/>
        <v>  -   </v>
      </c>
      <c r="I250" s="88" t="str">
        <f t="shared" si="116"/>
        <v>  -   </v>
      </c>
      <c r="J250" s="88" t="str">
        <f t="shared" si="116"/>
        <v>  -   </v>
      </c>
      <c r="K250" s="93"/>
      <c r="L250" s="93"/>
    </row>
    <row r="251">
      <c r="A251" s="360" t="str">
        <f t="shared" si="99"/>
        <v/>
      </c>
      <c r="B251" s="87" t="s">
        <v>620</v>
      </c>
      <c r="C251" s="88"/>
      <c r="D251" s="88" t="str">
        <f t="shared" ref="D251:J251" si="117">B86*$C251*D$172</f>
        <v>  -   </v>
      </c>
      <c r="E251" s="88" t="str">
        <f t="shared" si="117"/>
        <v>  -   </v>
      </c>
      <c r="F251" s="88" t="str">
        <f t="shared" si="117"/>
        <v>  -   </v>
      </c>
      <c r="G251" s="88" t="str">
        <f t="shared" si="117"/>
        <v>  -   </v>
      </c>
      <c r="H251" s="88" t="str">
        <f t="shared" si="117"/>
        <v>  -   </v>
      </c>
      <c r="I251" s="88" t="str">
        <f t="shared" si="117"/>
        <v>  -   </v>
      </c>
      <c r="J251" s="88" t="str">
        <f t="shared" si="117"/>
        <v>  -   </v>
      </c>
      <c r="K251" s="93"/>
      <c r="L251" s="93"/>
    </row>
    <row r="252">
      <c r="A252" s="360" t="str">
        <f t="shared" si="99"/>
        <v/>
      </c>
      <c r="B252" s="87" t="s">
        <v>620</v>
      </c>
      <c r="C252" s="88"/>
      <c r="D252" s="88" t="str">
        <f t="shared" ref="D252:J252" si="118">B87*$C252*D$172</f>
        <v>  -   </v>
      </c>
      <c r="E252" s="88" t="str">
        <f t="shared" si="118"/>
        <v>  -   </v>
      </c>
      <c r="F252" s="88" t="str">
        <f t="shared" si="118"/>
        <v>  -   </v>
      </c>
      <c r="G252" s="88" t="str">
        <f t="shared" si="118"/>
        <v>  -   </v>
      </c>
      <c r="H252" s="88" t="str">
        <f t="shared" si="118"/>
        <v>  -   </v>
      </c>
      <c r="I252" s="88" t="str">
        <f t="shared" si="118"/>
        <v>  -   </v>
      </c>
      <c r="J252" s="88" t="str">
        <f t="shared" si="118"/>
        <v>  -   </v>
      </c>
      <c r="K252" s="93"/>
      <c r="L252" s="93"/>
    </row>
    <row r="253">
      <c r="A253" s="360" t="str">
        <f t="shared" si="99"/>
        <v/>
      </c>
      <c r="B253" s="87" t="s">
        <v>620</v>
      </c>
      <c r="C253" s="88"/>
      <c r="D253" s="88" t="str">
        <f t="shared" ref="D253:J253" si="119">B88*$C253*D$172</f>
        <v>  -   </v>
      </c>
      <c r="E253" s="88" t="str">
        <f t="shared" si="119"/>
        <v>  -   </v>
      </c>
      <c r="F253" s="88" t="str">
        <f t="shared" si="119"/>
        <v>  -   </v>
      </c>
      <c r="G253" s="88" t="str">
        <f t="shared" si="119"/>
        <v>  -   </v>
      </c>
      <c r="H253" s="88" t="str">
        <f t="shared" si="119"/>
        <v>  -   </v>
      </c>
      <c r="I253" s="88" t="str">
        <f t="shared" si="119"/>
        <v>  -   </v>
      </c>
      <c r="J253" s="88" t="str">
        <f t="shared" si="119"/>
        <v>  -   </v>
      </c>
      <c r="K253" s="93"/>
      <c r="L253" s="93"/>
    </row>
    <row r="254">
      <c r="A254" s="87" t="str">
        <f t="shared" si="99"/>
        <v/>
      </c>
      <c r="B254" s="87" t="s">
        <v>620</v>
      </c>
      <c r="C254" s="88"/>
      <c r="D254" s="88" t="str">
        <f t="shared" ref="D254:J254" si="120">B89*$C254*D$172</f>
        <v>  -   </v>
      </c>
      <c r="E254" s="88" t="str">
        <f t="shared" si="120"/>
        <v>  -   </v>
      </c>
      <c r="F254" s="88" t="str">
        <f t="shared" si="120"/>
        <v>  -   </v>
      </c>
      <c r="G254" s="88" t="str">
        <f t="shared" si="120"/>
        <v>  -   </v>
      </c>
      <c r="H254" s="88" t="str">
        <f t="shared" si="120"/>
        <v>  -   </v>
      </c>
      <c r="I254" s="88" t="str">
        <f t="shared" si="120"/>
        <v>  -   </v>
      </c>
      <c r="J254" s="88" t="str">
        <f t="shared" si="120"/>
        <v>  -   </v>
      </c>
      <c r="K254" s="93"/>
      <c r="L254" s="93"/>
    </row>
    <row r="255">
      <c r="A255" s="87" t="str">
        <f t="shared" ref="A255:A274" si="122">A201</f>
        <v/>
      </c>
      <c r="B255" s="87"/>
      <c r="C255" s="88"/>
      <c r="D255" s="88" t="str">
        <f t="shared" ref="D255:J255" si="121">B90*$C255*D$172</f>
        <v>  -   </v>
      </c>
      <c r="E255" s="88" t="str">
        <f t="shared" si="121"/>
        <v>  -   </v>
      </c>
      <c r="F255" s="88" t="str">
        <f t="shared" si="121"/>
        <v>  -   </v>
      </c>
      <c r="G255" s="88" t="str">
        <f t="shared" si="121"/>
        <v>  -   </v>
      </c>
      <c r="H255" s="88" t="str">
        <f t="shared" si="121"/>
        <v>  -   </v>
      </c>
      <c r="I255" s="88" t="str">
        <f t="shared" si="121"/>
        <v>  -   </v>
      </c>
      <c r="J255" s="88" t="str">
        <f t="shared" si="121"/>
        <v>  -   </v>
      </c>
      <c r="K255" s="93"/>
      <c r="L255" s="93"/>
    </row>
    <row r="256">
      <c r="A256" s="358" t="str">
        <f t="shared" si="122"/>
        <v> Fruit  &amp; Vegetables Crop Production Details</v>
      </c>
      <c r="B256" s="87"/>
      <c r="C256" s="88"/>
      <c r="D256" s="88"/>
      <c r="E256" s="88"/>
      <c r="F256" s="88"/>
      <c r="G256" s="88"/>
      <c r="H256" s="88"/>
      <c r="I256" s="88"/>
      <c r="J256" s="88"/>
      <c r="K256" s="93"/>
      <c r="L256" s="93"/>
    </row>
    <row r="257">
      <c r="A257" s="360" t="str">
        <f t="shared" si="122"/>
        <v> Onion</v>
      </c>
      <c r="B257" s="87" t="s">
        <v>620</v>
      </c>
      <c r="C257" s="88"/>
      <c r="D257" s="88" t="str">
        <f t="shared" ref="D257:J257" si="123">B92*$C257*D$172</f>
        <v>  -   </v>
      </c>
      <c r="E257" s="88" t="str">
        <f t="shared" si="123"/>
        <v>  -   </v>
      </c>
      <c r="F257" s="88" t="str">
        <f t="shared" si="123"/>
        <v>  -   </v>
      </c>
      <c r="G257" s="88" t="str">
        <f t="shared" si="123"/>
        <v>  -   </v>
      </c>
      <c r="H257" s="88" t="str">
        <f t="shared" si="123"/>
        <v>  -   </v>
      </c>
      <c r="I257" s="88" t="str">
        <f t="shared" si="123"/>
        <v>  -   </v>
      </c>
      <c r="J257" s="88" t="str">
        <f t="shared" si="123"/>
        <v>  -   </v>
      </c>
      <c r="K257" s="93"/>
      <c r="L257" s="93"/>
    </row>
    <row r="258">
      <c r="A258" s="360" t="str">
        <f t="shared" si="122"/>
        <v> Tomato</v>
      </c>
      <c r="B258" s="87" t="s">
        <v>620</v>
      </c>
      <c r="C258" s="88"/>
      <c r="D258" s="88" t="str">
        <f t="shared" ref="D258:J258" si="124">B93*$C258*D$172</f>
        <v>  -   </v>
      </c>
      <c r="E258" s="88" t="str">
        <f t="shared" si="124"/>
        <v>  -   </v>
      </c>
      <c r="F258" s="88" t="str">
        <f t="shared" si="124"/>
        <v>  -   </v>
      </c>
      <c r="G258" s="88" t="str">
        <f t="shared" si="124"/>
        <v>  -   </v>
      </c>
      <c r="H258" s="88" t="str">
        <f t="shared" si="124"/>
        <v>  -   </v>
      </c>
      <c r="I258" s="88" t="str">
        <f t="shared" si="124"/>
        <v>  -   </v>
      </c>
      <c r="J258" s="88" t="str">
        <f t="shared" si="124"/>
        <v>  -   </v>
      </c>
      <c r="K258" s="93"/>
      <c r="L258" s="93"/>
    </row>
    <row r="259">
      <c r="A259" s="360" t="str">
        <f t="shared" si="122"/>
        <v> Okra</v>
      </c>
      <c r="B259" s="87" t="s">
        <v>620</v>
      </c>
      <c r="C259" s="88"/>
      <c r="D259" s="88" t="str">
        <f t="shared" ref="D259:J259" si="125">B94*$C259*D$172</f>
        <v>  -   </v>
      </c>
      <c r="E259" s="88" t="str">
        <f t="shared" si="125"/>
        <v>  -   </v>
      </c>
      <c r="F259" s="88" t="str">
        <f t="shared" si="125"/>
        <v>  -   </v>
      </c>
      <c r="G259" s="88" t="str">
        <f t="shared" si="125"/>
        <v>  -   </v>
      </c>
      <c r="H259" s="88" t="str">
        <f t="shared" si="125"/>
        <v>  -   </v>
      </c>
      <c r="I259" s="88" t="str">
        <f t="shared" si="125"/>
        <v>  -   </v>
      </c>
      <c r="J259" s="88" t="str">
        <f t="shared" si="125"/>
        <v>  -   </v>
      </c>
      <c r="K259" s="93"/>
      <c r="L259" s="93"/>
    </row>
    <row r="260">
      <c r="A260" s="360" t="str">
        <f t="shared" si="122"/>
        <v> Chilli</v>
      </c>
      <c r="B260" s="87" t="s">
        <v>620</v>
      </c>
      <c r="C260" s="88"/>
      <c r="D260" s="88" t="str">
        <f t="shared" ref="D260:J260" si="126">B95*$C260*D$172</f>
        <v>  -   </v>
      </c>
      <c r="E260" s="88" t="str">
        <f t="shared" si="126"/>
        <v>  -   </v>
      </c>
      <c r="F260" s="88" t="str">
        <f t="shared" si="126"/>
        <v>  -   </v>
      </c>
      <c r="G260" s="88" t="str">
        <f t="shared" si="126"/>
        <v>  -   </v>
      </c>
      <c r="H260" s="88" t="str">
        <f t="shared" si="126"/>
        <v>  -   </v>
      </c>
      <c r="I260" s="88" t="str">
        <f t="shared" si="126"/>
        <v>  -   </v>
      </c>
      <c r="J260" s="88" t="str">
        <f t="shared" si="126"/>
        <v>  -   </v>
      </c>
      <c r="K260" s="93"/>
      <c r="L260" s="93"/>
    </row>
    <row r="261">
      <c r="A261" s="360" t="str">
        <f t="shared" si="122"/>
        <v> Potato</v>
      </c>
      <c r="B261" s="87" t="s">
        <v>620</v>
      </c>
      <c r="C261" s="88"/>
      <c r="D261" s="88" t="str">
        <f t="shared" ref="D261:J261" si="127">B96*$C261*D$172</f>
        <v>  -   </v>
      </c>
      <c r="E261" s="88" t="str">
        <f t="shared" si="127"/>
        <v>  -   </v>
      </c>
      <c r="F261" s="88" t="str">
        <f t="shared" si="127"/>
        <v>  -   </v>
      </c>
      <c r="G261" s="88" t="str">
        <f t="shared" si="127"/>
        <v>  -   </v>
      </c>
      <c r="H261" s="88" t="str">
        <f t="shared" si="127"/>
        <v>  -   </v>
      </c>
      <c r="I261" s="88" t="str">
        <f t="shared" si="127"/>
        <v>  -   </v>
      </c>
      <c r="J261" s="88" t="str">
        <f t="shared" si="127"/>
        <v>  -   </v>
      </c>
      <c r="K261" s="93"/>
      <c r="L261" s="93"/>
    </row>
    <row r="262">
      <c r="A262" s="360" t="str">
        <f t="shared" si="122"/>
        <v/>
      </c>
      <c r="B262" s="87" t="s">
        <v>620</v>
      </c>
      <c r="C262" s="88"/>
      <c r="D262" s="88" t="str">
        <f t="shared" ref="D262:J262" si="128">B97*$C262*D$172</f>
        <v>  -   </v>
      </c>
      <c r="E262" s="88" t="str">
        <f t="shared" si="128"/>
        <v>  -   </v>
      </c>
      <c r="F262" s="88" t="str">
        <f t="shared" si="128"/>
        <v>  -   </v>
      </c>
      <c r="G262" s="88" t="str">
        <f t="shared" si="128"/>
        <v>  -   </v>
      </c>
      <c r="H262" s="88" t="str">
        <f t="shared" si="128"/>
        <v>  -   </v>
      </c>
      <c r="I262" s="88" t="str">
        <f t="shared" si="128"/>
        <v>  -   </v>
      </c>
      <c r="J262" s="88" t="str">
        <f t="shared" si="128"/>
        <v>  -   </v>
      </c>
      <c r="K262" s="93"/>
      <c r="L262" s="93"/>
    </row>
    <row r="263">
      <c r="A263" s="360" t="str">
        <f t="shared" si="122"/>
        <v/>
      </c>
      <c r="B263" s="87" t="s">
        <v>620</v>
      </c>
      <c r="C263" s="88"/>
      <c r="D263" s="88" t="str">
        <f t="shared" ref="D263:J263" si="129">B98*$C263*D$172</f>
        <v>  -   </v>
      </c>
      <c r="E263" s="88" t="str">
        <f t="shared" si="129"/>
        <v>  -   </v>
      </c>
      <c r="F263" s="88" t="str">
        <f t="shared" si="129"/>
        <v>  -   </v>
      </c>
      <c r="G263" s="88" t="str">
        <f t="shared" si="129"/>
        <v>  -   </v>
      </c>
      <c r="H263" s="88" t="str">
        <f t="shared" si="129"/>
        <v>  -   </v>
      </c>
      <c r="I263" s="88" t="str">
        <f t="shared" si="129"/>
        <v>  -   </v>
      </c>
      <c r="J263" s="88" t="str">
        <f t="shared" si="129"/>
        <v>  -   </v>
      </c>
      <c r="K263" s="93"/>
      <c r="L263" s="93"/>
    </row>
    <row r="264">
      <c r="A264" s="360" t="str">
        <f t="shared" si="122"/>
        <v/>
      </c>
      <c r="B264" s="87" t="s">
        <v>620</v>
      </c>
      <c r="C264" s="88"/>
      <c r="D264" s="88" t="str">
        <f t="shared" ref="D264:J264" si="130">B99*$C264*D$172</f>
        <v>  -   </v>
      </c>
      <c r="E264" s="88" t="str">
        <f t="shared" si="130"/>
        <v>  -   </v>
      </c>
      <c r="F264" s="88" t="str">
        <f t="shared" si="130"/>
        <v>  -   </v>
      </c>
      <c r="G264" s="88" t="str">
        <f t="shared" si="130"/>
        <v>  -   </v>
      </c>
      <c r="H264" s="88" t="str">
        <f t="shared" si="130"/>
        <v>  -   </v>
      </c>
      <c r="I264" s="88" t="str">
        <f t="shared" si="130"/>
        <v>  -   </v>
      </c>
      <c r="J264" s="88" t="str">
        <f t="shared" si="130"/>
        <v>  -   </v>
      </c>
      <c r="K264" s="93"/>
      <c r="L264" s="93"/>
    </row>
    <row r="265">
      <c r="A265" s="360" t="str">
        <f t="shared" si="122"/>
        <v/>
      </c>
      <c r="B265" s="87" t="s">
        <v>620</v>
      </c>
      <c r="C265" s="88"/>
      <c r="D265" s="88" t="str">
        <f t="shared" ref="D265:J265" si="131">B100*$C265*D$172</f>
        <v>  -   </v>
      </c>
      <c r="E265" s="88" t="str">
        <f t="shared" si="131"/>
        <v>  -   </v>
      </c>
      <c r="F265" s="88" t="str">
        <f t="shared" si="131"/>
        <v>  -   </v>
      </c>
      <c r="G265" s="88" t="str">
        <f t="shared" si="131"/>
        <v>  -   </v>
      </c>
      <c r="H265" s="88" t="str">
        <f t="shared" si="131"/>
        <v>  -   </v>
      </c>
      <c r="I265" s="88" t="str">
        <f t="shared" si="131"/>
        <v>  -   </v>
      </c>
      <c r="J265" s="88" t="str">
        <f t="shared" si="131"/>
        <v>  -   </v>
      </c>
      <c r="K265" s="93"/>
      <c r="L265" s="93"/>
    </row>
    <row r="266">
      <c r="A266" s="360" t="str">
        <f t="shared" si="122"/>
        <v> Onion</v>
      </c>
      <c r="B266" s="87" t="s">
        <v>620</v>
      </c>
      <c r="C266" s="88"/>
      <c r="D266" s="88" t="str">
        <f t="shared" ref="D266:J266" si="132">B101*$C266*D$172</f>
        <v>  -   </v>
      </c>
      <c r="E266" s="88" t="str">
        <f t="shared" si="132"/>
        <v>  -   </v>
      </c>
      <c r="F266" s="88" t="str">
        <f t="shared" si="132"/>
        <v>  -   </v>
      </c>
      <c r="G266" s="88" t="str">
        <f t="shared" si="132"/>
        <v>  -   </v>
      </c>
      <c r="H266" s="88" t="str">
        <f t="shared" si="132"/>
        <v>  -   </v>
      </c>
      <c r="I266" s="88" t="str">
        <f t="shared" si="132"/>
        <v>  -   </v>
      </c>
      <c r="J266" s="88" t="str">
        <f t="shared" si="132"/>
        <v>  -   </v>
      </c>
      <c r="K266" s="93"/>
      <c r="L266" s="93"/>
    </row>
    <row r="267">
      <c r="A267" s="360" t="str">
        <f t="shared" si="122"/>
        <v> Tomato</v>
      </c>
      <c r="B267" s="87" t="s">
        <v>620</v>
      </c>
      <c r="C267" s="88"/>
      <c r="D267" s="88" t="str">
        <f t="shared" ref="D267:J267" si="133">B102*$C267*D$172</f>
        <v>  -   </v>
      </c>
      <c r="E267" s="88" t="str">
        <f t="shared" si="133"/>
        <v>  -   </v>
      </c>
      <c r="F267" s="88" t="str">
        <f t="shared" si="133"/>
        <v>  -   </v>
      </c>
      <c r="G267" s="88" t="str">
        <f t="shared" si="133"/>
        <v>  -   </v>
      </c>
      <c r="H267" s="88" t="str">
        <f t="shared" si="133"/>
        <v>  -   </v>
      </c>
      <c r="I267" s="88" t="str">
        <f t="shared" si="133"/>
        <v>  -   </v>
      </c>
      <c r="J267" s="88" t="str">
        <f t="shared" si="133"/>
        <v>  -   </v>
      </c>
      <c r="K267" s="93"/>
      <c r="L267" s="93"/>
    </row>
    <row r="268">
      <c r="A268" s="360" t="str">
        <f t="shared" si="122"/>
        <v> Okra</v>
      </c>
      <c r="B268" s="87" t="s">
        <v>620</v>
      </c>
      <c r="C268" s="88"/>
      <c r="D268" s="88" t="str">
        <f t="shared" ref="D268:J268" si="134">B103*$C268*D$172</f>
        <v>  -   </v>
      </c>
      <c r="E268" s="88" t="str">
        <f t="shared" si="134"/>
        <v>  -   </v>
      </c>
      <c r="F268" s="88" t="str">
        <f t="shared" si="134"/>
        <v>  -   </v>
      </c>
      <c r="G268" s="88" t="str">
        <f t="shared" si="134"/>
        <v>  -   </v>
      </c>
      <c r="H268" s="88" t="str">
        <f t="shared" si="134"/>
        <v>  -   </v>
      </c>
      <c r="I268" s="88" t="str">
        <f t="shared" si="134"/>
        <v>  -   </v>
      </c>
      <c r="J268" s="88" t="str">
        <f t="shared" si="134"/>
        <v>  -   </v>
      </c>
      <c r="K268" s="93"/>
      <c r="L268" s="93"/>
    </row>
    <row r="269">
      <c r="A269" s="360" t="str">
        <f t="shared" si="122"/>
        <v> Chilli</v>
      </c>
      <c r="B269" s="87" t="s">
        <v>620</v>
      </c>
      <c r="C269" s="88"/>
      <c r="D269" s="88" t="str">
        <f t="shared" ref="D269:J269" si="135">B104*$C269*D$172</f>
        <v>  -   </v>
      </c>
      <c r="E269" s="88" t="str">
        <f t="shared" si="135"/>
        <v>  -   </v>
      </c>
      <c r="F269" s="88" t="str">
        <f t="shared" si="135"/>
        <v>  -   </v>
      </c>
      <c r="G269" s="88" t="str">
        <f t="shared" si="135"/>
        <v>  -   </v>
      </c>
      <c r="H269" s="88" t="str">
        <f t="shared" si="135"/>
        <v>  -   </v>
      </c>
      <c r="I269" s="88" t="str">
        <f t="shared" si="135"/>
        <v>  -   </v>
      </c>
      <c r="J269" s="88" t="str">
        <f t="shared" si="135"/>
        <v>  -   </v>
      </c>
      <c r="K269" s="93"/>
      <c r="L269" s="93"/>
    </row>
    <row r="270">
      <c r="A270" s="360" t="str">
        <f t="shared" si="122"/>
        <v> Brinjal</v>
      </c>
      <c r="B270" s="87" t="s">
        <v>620</v>
      </c>
      <c r="C270" s="88"/>
      <c r="D270" s="88" t="str">
        <f t="shared" ref="D270:J270" si="136">B105*$C270*D$172</f>
        <v>  -   </v>
      </c>
      <c r="E270" s="88" t="str">
        <f t="shared" si="136"/>
        <v>  -   </v>
      </c>
      <c r="F270" s="88" t="str">
        <f t="shared" si="136"/>
        <v>  -   </v>
      </c>
      <c r="G270" s="88" t="str">
        <f t="shared" si="136"/>
        <v>  -   </v>
      </c>
      <c r="H270" s="88" t="str">
        <f t="shared" si="136"/>
        <v>  -   </v>
      </c>
      <c r="I270" s="88" t="str">
        <f t="shared" si="136"/>
        <v>  -   </v>
      </c>
      <c r="J270" s="88" t="str">
        <f t="shared" si="136"/>
        <v>  -   </v>
      </c>
      <c r="K270" s="93"/>
      <c r="L270" s="93"/>
    </row>
    <row r="271">
      <c r="A271" s="360" t="str">
        <f t="shared" si="122"/>
        <v/>
      </c>
      <c r="B271" s="87" t="s">
        <v>620</v>
      </c>
      <c r="C271" s="88"/>
      <c r="D271" s="88" t="str">
        <f t="shared" ref="D271:J271" si="137">B106*$C271*D$172</f>
        <v>  -   </v>
      </c>
      <c r="E271" s="88" t="str">
        <f t="shared" si="137"/>
        <v>  -   </v>
      </c>
      <c r="F271" s="88" t="str">
        <f t="shared" si="137"/>
        <v>  -   </v>
      </c>
      <c r="G271" s="88" t="str">
        <f t="shared" si="137"/>
        <v>  -   </v>
      </c>
      <c r="H271" s="88" t="str">
        <f t="shared" si="137"/>
        <v>  -   </v>
      </c>
      <c r="I271" s="88" t="str">
        <f t="shared" si="137"/>
        <v>  -   </v>
      </c>
      <c r="J271" s="88" t="str">
        <f t="shared" si="137"/>
        <v>  -   </v>
      </c>
      <c r="K271" s="93"/>
      <c r="L271" s="93"/>
    </row>
    <row r="272">
      <c r="A272" s="360" t="str">
        <f t="shared" si="122"/>
        <v/>
      </c>
      <c r="B272" s="87" t="s">
        <v>620</v>
      </c>
      <c r="C272" s="88"/>
      <c r="D272" s="88" t="str">
        <f t="shared" ref="D272:J272" si="138">B107*$C272*D$172</f>
        <v>  -   </v>
      </c>
      <c r="E272" s="88" t="str">
        <f t="shared" si="138"/>
        <v>  -   </v>
      </c>
      <c r="F272" s="88" t="str">
        <f t="shared" si="138"/>
        <v>  -   </v>
      </c>
      <c r="G272" s="88" t="str">
        <f t="shared" si="138"/>
        <v>  -   </v>
      </c>
      <c r="H272" s="88" t="str">
        <f t="shared" si="138"/>
        <v>  -   </v>
      </c>
      <c r="I272" s="88" t="str">
        <f t="shared" si="138"/>
        <v>  -   </v>
      </c>
      <c r="J272" s="88" t="str">
        <f t="shared" si="138"/>
        <v>  -   </v>
      </c>
      <c r="K272" s="93"/>
      <c r="L272" s="93"/>
    </row>
    <row r="273">
      <c r="A273" s="360" t="str">
        <f t="shared" si="122"/>
        <v/>
      </c>
      <c r="B273" s="87" t="s">
        <v>620</v>
      </c>
      <c r="C273" s="88"/>
      <c r="D273" s="88" t="str">
        <f t="shared" ref="D273:J273" si="139">B108*$C273*D$172</f>
        <v>  -   </v>
      </c>
      <c r="E273" s="88" t="str">
        <f t="shared" si="139"/>
        <v>  -   </v>
      </c>
      <c r="F273" s="88" t="str">
        <f t="shared" si="139"/>
        <v>  -   </v>
      </c>
      <c r="G273" s="88" t="str">
        <f t="shared" si="139"/>
        <v>  -   </v>
      </c>
      <c r="H273" s="88" t="str">
        <f t="shared" si="139"/>
        <v>  -   </v>
      </c>
      <c r="I273" s="88" t="str">
        <f t="shared" si="139"/>
        <v>  -   </v>
      </c>
      <c r="J273" s="88" t="str">
        <f t="shared" si="139"/>
        <v>  -   </v>
      </c>
      <c r="K273" s="93"/>
      <c r="L273" s="93"/>
    </row>
    <row r="274">
      <c r="A274" s="360" t="str">
        <f t="shared" si="122"/>
        <v/>
      </c>
      <c r="B274" s="87" t="s">
        <v>620</v>
      </c>
      <c r="C274" s="88"/>
      <c r="D274" s="88" t="str">
        <f t="shared" ref="D274:J274" si="140">B109*$C274*D$172</f>
        <v>  -   </v>
      </c>
      <c r="E274" s="88" t="str">
        <f t="shared" si="140"/>
        <v>  -   </v>
      </c>
      <c r="F274" s="88" t="str">
        <f t="shared" si="140"/>
        <v>  -   </v>
      </c>
      <c r="G274" s="88" t="str">
        <f t="shared" si="140"/>
        <v>  -   </v>
      </c>
      <c r="H274" s="88" t="str">
        <f t="shared" si="140"/>
        <v>  -   </v>
      </c>
      <c r="I274" s="88" t="str">
        <f t="shared" si="140"/>
        <v>  -   </v>
      </c>
      <c r="J274" s="88" t="str">
        <f t="shared" si="140"/>
        <v>  -   </v>
      </c>
      <c r="K274" s="93"/>
      <c r="L274" s="93"/>
    </row>
    <row r="275">
      <c r="A275" s="360" t="str">
        <f t="shared" ref="A275:A279" si="142">A224</f>
        <v> Pomegranate</v>
      </c>
      <c r="B275" s="87" t="s">
        <v>620</v>
      </c>
      <c r="C275" s="88"/>
      <c r="D275" s="88" t="str">
        <f t="shared" ref="D275:J275" si="141">B113*$C275*D$172</f>
        <v>  -   </v>
      </c>
      <c r="E275" s="88" t="str">
        <f t="shared" si="141"/>
        <v>  -   </v>
      </c>
      <c r="F275" s="88" t="str">
        <f t="shared" si="141"/>
        <v>  -   </v>
      </c>
      <c r="G275" s="88" t="str">
        <f t="shared" si="141"/>
        <v>  -   </v>
      </c>
      <c r="H275" s="88" t="str">
        <f t="shared" si="141"/>
        <v>  -   </v>
      </c>
      <c r="I275" s="88" t="str">
        <f t="shared" si="141"/>
        <v>  -   </v>
      </c>
      <c r="J275" s="88" t="str">
        <f t="shared" si="141"/>
        <v>  -   </v>
      </c>
      <c r="K275" s="93"/>
      <c r="L275" s="93"/>
    </row>
    <row r="276">
      <c r="A276" s="360" t="str">
        <f t="shared" si="142"/>
        <v> Custard Apple</v>
      </c>
      <c r="B276" s="87" t="s">
        <v>620</v>
      </c>
      <c r="C276" s="88"/>
      <c r="D276" s="88" t="str">
        <f t="shared" ref="D276:J276" si="143">B114*$C276*D$172</f>
        <v>  -   </v>
      </c>
      <c r="E276" s="88" t="str">
        <f t="shared" si="143"/>
        <v>  -   </v>
      </c>
      <c r="F276" s="88" t="str">
        <f t="shared" si="143"/>
        <v>  -   </v>
      </c>
      <c r="G276" s="88" t="str">
        <f t="shared" si="143"/>
        <v>  -   </v>
      </c>
      <c r="H276" s="88" t="str">
        <f t="shared" si="143"/>
        <v>  -   </v>
      </c>
      <c r="I276" s="88" t="str">
        <f t="shared" si="143"/>
        <v>  -   </v>
      </c>
      <c r="J276" s="88" t="str">
        <f t="shared" si="143"/>
        <v>  -   </v>
      </c>
      <c r="K276" s="93"/>
      <c r="L276" s="93"/>
    </row>
    <row r="277">
      <c r="A277" s="360" t="str">
        <f t="shared" si="142"/>
        <v> Guava</v>
      </c>
      <c r="B277" s="87" t="s">
        <v>620</v>
      </c>
      <c r="C277" s="88"/>
      <c r="D277" s="88" t="str">
        <f t="shared" ref="D277:J277" si="144">B115*$C277*D$172</f>
        <v>  -   </v>
      </c>
      <c r="E277" s="88" t="str">
        <f t="shared" si="144"/>
        <v>  -   </v>
      </c>
      <c r="F277" s="88" t="str">
        <f t="shared" si="144"/>
        <v>  -   </v>
      </c>
      <c r="G277" s="88" t="str">
        <f t="shared" si="144"/>
        <v>  -   </v>
      </c>
      <c r="H277" s="88" t="str">
        <f t="shared" si="144"/>
        <v>  -   </v>
      </c>
      <c r="I277" s="88" t="str">
        <f t="shared" si="144"/>
        <v>  -   </v>
      </c>
      <c r="J277" s="88" t="str">
        <f t="shared" si="144"/>
        <v>  -   </v>
      </c>
      <c r="K277" s="93"/>
      <c r="L277" s="93"/>
    </row>
    <row r="278">
      <c r="A278" s="360" t="str">
        <f t="shared" si="142"/>
        <v> Citrus</v>
      </c>
      <c r="B278" s="87" t="s">
        <v>620</v>
      </c>
      <c r="C278" s="88"/>
      <c r="D278" s="88" t="str">
        <f t="shared" ref="D278:J278" si="145">B116*$C278*D$172</f>
        <v>  -   </v>
      </c>
      <c r="E278" s="88" t="str">
        <f t="shared" si="145"/>
        <v>  -   </v>
      </c>
      <c r="F278" s="88" t="str">
        <f t="shared" si="145"/>
        <v>  -   </v>
      </c>
      <c r="G278" s="88" t="str">
        <f t="shared" si="145"/>
        <v>  -   </v>
      </c>
      <c r="H278" s="88" t="str">
        <f t="shared" si="145"/>
        <v>  -   </v>
      </c>
      <c r="I278" s="88" t="str">
        <f t="shared" si="145"/>
        <v>  -   </v>
      </c>
      <c r="J278" s="88" t="str">
        <f t="shared" si="145"/>
        <v>  -   </v>
      </c>
      <c r="K278" s="93"/>
      <c r="L278" s="93"/>
    </row>
    <row r="279">
      <c r="A279" s="87" t="str">
        <f t="shared" si="142"/>
        <v/>
      </c>
      <c r="B279" s="87" t="s">
        <v>620</v>
      </c>
      <c r="C279" s="88"/>
      <c r="D279" s="88" t="str">
        <f t="shared" ref="D279:J279" si="146">B117*$C279*D$172</f>
        <v>  -   </v>
      </c>
      <c r="E279" s="88" t="str">
        <f t="shared" si="146"/>
        <v>  -   </v>
      </c>
      <c r="F279" s="88" t="str">
        <f t="shared" si="146"/>
        <v>  -   </v>
      </c>
      <c r="G279" s="88" t="str">
        <f t="shared" si="146"/>
        <v>  -   </v>
      </c>
      <c r="H279" s="88" t="str">
        <f t="shared" si="146"/>
        <v>  -   </v>
      </c>
      <c r="I279" s="88" t="str">
        <f t="shared" si="146"/>
        <v>  -   </v>
      </c>
      <c r="J279" s="88" t="str">
        <f t="shared" si="146"/>
        <v>  -   </v>
      </c>
      <c r="K279" s="93"/>
      <c r="L279" s="93"/>
    </row>
    <row r="280">
      <c r="A280" s="87" t="str">
        <f>A230</f>
        <v/>
      </c>
      <c r="B280" s="87"/>
      <c r="C280" s="88"/>
      <c r="D280" s="88" t="str">
        <f t="shared" ref="D280:J280" si="147">B118*$C280*D$172</f>
        <v>  -   </v>
      </c>
      <c r="E280" s="88" t="str">
        <f t="shared" si="147"/>
        <v>  -   </v>
      </c>
      <c r="F280" s="88" t="str">
        <f t="shared" si="147"/>
        <v>  -   </v>
      </c>
      <c r="G280" s="88" t="str">
        <f t="shared" si="147"/>
        <v>  -   </v>
      </c>
      <c r="H280" s="88" t="str">
        <f t="shared" si="147"/>
        <v>  -   </v>
      </c>
      <c r="I280" s="88" t="str">
        <f t="shared" si="147"/>
        <v>  -   </v>
      </c>
      <c r="J280" s="88" t="str">
        <f t="shared" si="147"/>
        <v>  -   </v>
      </c>
      <c r="K280" s="93"/>
      <c r="L280" s="93"/>
    </row>
    <row r="281">
      <c r="A281" s="87"/>
      <c r="B281" s="87"/>
      <c r="C281" s="88"/>
      <c r="D281" s="88"/>
      <c r="E281" s="88"/>
      <c r="F281" s="88"/>
      <c r="G281" s="88"/>
      <c r="H281" s="88"/>
      <c r="I281" s="88"/>
      <c r="J281" s="88"/>
      <c r="K281" s="93"/>
      <c r="L281" s="93"/>
    </row>
    <row r="282">
      <c r="A282" s="87" t="s">
        <v>623</v>
      </c>
      <c r="B282" s="87">
        <v>15.0</v>
      </c>
      <c r="C282" s="87">
        <v>300.0</v>
      </c>
      <c r="D282" s="88" t="str">
        <f t="shared" ref="D282:J282" si="148">B10*$B$282*$C$282*D172</f>
        <v>  861,423 </v>
      </c>
      <c r="E282" s="88" t="str">
        <f t="shared" si="148"/>
        <v>  994,944 </v>
      </c>
      <c r="F282" s="88" t="str">
        <f t="shared" si="148"/>
        <v>  1,139,663 </v>
      </c>
      <c r="G282" s="88" t="str">
        <f t="shared" si="148"/>
        <v>  1,296,367 </v>
      </c>
      <c r="H282" s="88" t="str">
        <f t="shared" si="148"/>
        <v>  1,465,891 </v>
      </c>
      <c r="I282" s="88" t="str">
        <f t="shared" si="148"/>
        <v>  1,649,128 </v>
      </c>
      <c r="J282" s="88" t="str">
        <f t="shared" si="148"/>
        <v>  1,847,023 </v>
      </c>
      <c r="K282" s="93"/>
      <c r="L282" s="93"/>
    </row>
    <row r="283">
      <c r="A283" s="87" t="s">
        <v>624</v>
      </c>
      <c r="B283" s="87" t="str">
        <f>'2.Capex Details'!H58*0.746*8</f>
        <v>125.328</v>
      </c>
      <c r="C283" s="87">
        <v>12.0</v>
      </c>
      <c r="D283" s="88" t="str">
        <f t="shared" ref="D283:J283" si="149">$B$283*$C$283*D172*B10</f>
        <v>  287,895 </v>
      </c>
      <c r="E283" s="88" t="str">
        <f t="shared" si="149"/>
        <v>  332,518 </v>
      </c>
      <c r="F283" s="88" t="str">
        <f t="shared" si="149"/>
        <v>  380,884 </v>
      </c>
      <c r="G283" s="88" t="str">
        <f t="shared" si="149"/>
        <v>  433,256 </v>
      </c>
      <c r="H283" s="88" t="str">
        <f t="shared" si="149"/>
        <v>  489,913 </v>
      </c>
      <c r="I283" s="88" t="str">
        <f t="shared" si="149"/>
        <v>  551,152 </v>
      </c>
      <c r="J283" s="88" t="str">
        <f t="shared" si="149"/>
        <v>  617,290 </v>
      </c>
      <c r="K283" s="93"/>
      <c r="L283" s="93"/>
    </row>
    <row r="284">
      <c r="A284" s="87" t="s">
        <v>625</v>
      </c>
      <c r="B284" s="87"/>
      <c r="C284" s="87">
        <v>15.0</v>
      </c>
      <c r="D284" s="88" t="str">
        <f t="shared" ref="D284:J284" si="150">SUM(B120:B141)*$C$284*D172</f>
        <v>  218,227 </v>
      </c>
      <c r="E284" s="88" t="str">
        <f t="shared" si="150"/>
        <v>  252,052 </v>
      </c>
      <c r="F284" s="88" t="str">
        <f t="shared" si="150"/>
        <v>  288,715 </v>
      </c>
      <c r="G284" s="88" t="str">
        <f t="shared" si="150"/>
        <v>  328,413 </v>
      </c>
      <c r="H284" s="88" t="str">
        <f t="shared" si="150"/>
        <v>  371,359 </v>
      </c>
      <c r="I284" s="88" t="str">
        <f t="shared" si="150"/>
        <v>  417,779 </v>
      </c>
      <c r="J284" s="88" t="str">
        <f t="shared" si="150"/>
        <v>  467,913 </v>
      </c>
      <c r="K284" s="93"/>
      <c r="L284" s="93"/>
    </row>
    <row r="285">
      <c r="A285" s="87" t="s">
        <v>626</v>
      </c>
      <c r="B285" s="87"/>
      <c r="C285" s="87">
        <v>10.0</v>
      </c>
      <c r="D285" s="88" t="str">
        <f t="shared" ref="D285:J285" si="151">SUM(B120:B141)*$C$285*D172</f>
        <v>  145,485 </v>
      </c>
      <c r="E285" s="88" t="str">
        <f t="shared" si="151"/>
        <v>  168,035 </v>
      </c>
      <c r="F285" s="88" t="str">
        <f t="shared" si="151"/>
        <v>  192,476 </v>
      </c>
      <c r="G285" s="88" t="str">
        <f t="shared" si="151"/>
        <v>  218,942 </v>
      </c>
      <c r="H285" s="88" t="str">
        <f t="shared" si="151"/>
        <v>  247,573 </v>
      </c>
      <c r="I285" s="88" t="str">
        <f t="shared" si="151"/>
        <v>  278,519 </v>
      </c>
      <c r="J285" s="88" t="str">
        <f t="shared" si="151"/>
        <v>  311,942 </v>
      </c>
      <c r="K285" s="93"/>
      <c r="L285" s="93"/>
    </row>
    <row r="286">
      <c r="A286" s="42"/>
      <c r="B286" s="42"/>
      <c r="C286" s="42"/>
      <c r="D286" s="42"/>
      <c r="E286" s="42"/>
      <c r="F286" s="42"/>
      <c r="G286" s="42"/>
      <c r="H286" s="42"/>
      <c r="I286" s="42"/>
      <c r="J286" s="42"/>
      <c r="K286" s="93"/>
      <c r="L286" s="93"/>
    </row>
    <row r="287">
      <c r="A287" s="42"/>
      <c r="B287" s="42"/>
      <c r="C287" s="42"/>
      <c r="D287" s="42"/>
      <c r="E287" s="42"/>
      <c r="F287" s="42"/>
      <c r="G287" s="42"/>
      <c r="H287" s="42"/>
      <c r="I287" s="42"/>
      <c r="J287" s="42"/>
      <c r="K287" s="93"/>
      <c r="L287" s="93"/>
    </row>
    <row r="288">
      <c r="A288" s="42"/>
      <c r="B288" s="42"/>
      <c r="C288" s="42"/>
      <c r="D288" s="42"/>
      <c r="E288" s="42"/>
      <c r="F288" s="42"/>
      <c r="G288" s="42"/>
      <c r="H288" s="42"/>
      <c r="I288" s="42"/>
      <c r="J288" s="42"/>
      <c r="K288" s="93"/>
      <c r="L288" s="93"/>
    </row>
    <row r="289">
      <c r="A289" s="87" t="s">
        <v>627</v>
      </c>
      <c r="B289" s="87"/>
      <c r="C289" s="87"/>
      <c r="D289" s="360"/>
      <c r="E289" s="360" t="str">
        <f>'5.Closing Stock &amp; W Capital'!F7</f>
        <v>  2,064,405 </v>
      </c>
      <c r="F289" s="360" t="str">
        <f>'5.Closing Stock &amp; W Capital'!G7</f>
        <v>  2,384,388 </v>
      </c>
      <c r="G289" s="360" t="str">
        <f>'5.Closing Stock &amp; W Capital'!H7</f>
        <v>  2,731,208 </v>
      </c>
      <c r="H289" s="360" t="str">
        <f>'5.Closing Stock &amp; W Capital'!I7</f>
        <v>  3,106,750 </v>
      </c>
      <c r="I289" s="360" t="str">
        <f>'5.Closing Stock &amp; W Capital'!J7</f>
        <v>  3,513,017 </v>
      </c>
      <c r="J289" s="360" t="str">
        <f>'5.Closing Stock &amp; W Capital'!K7</f>
        <v>  3,952,144 </v>
      </c>
      <c r="K289" s="93"/>
      <c r="L289" s="93"/>
    </row>
    <row r="290">
      <c r="A290" s="87" t="s">
        <v>628</v>
      </c>
      <c r="B290" s="87"/>
      <c r="C290" s="360"/>
      <c r="D290" s="360" t="str">
        <f>'5.Closing Stock &amp; W Capital'!E16</f>
        <v>  2,064,405 </v>
      </c>
      <c r="E290" s="360" t="str">
        <f>'5.Closing Stock &amp; W Capital'!F16</f>
        <v>  2,384,388 </v>
      </c>
      <c r="F290" s="360" t="str">
        <f>'5.Closing Stock &amp; W Capital'!G16</f>
        <v>  2,731,208 </v>
      </c>
      <c r="G290" s="360" t="str">
        <f>'5.Closing Stock &amp; W Capital'!H16</f>
        <v>  3,106,750 </v>
      </c>
      <c r="H290" s="360" t="str">
        <f>'5.Closing Stock &amp; W Capital'!I16</f>
        <v>  3,513,017 </v>
      </c>
      <c r="I290" s="360" t="str">
        <f>'5.Closing Stock &amp; W Capital'!J16</f>
        <v>  3,952,144 </v>
      </c>
      <c r="J290" s="360" t="str">
        <f>'5.Closing Stock &amp; W Capital'!K16</f>
        <v>  4,426,401 </v>
      </c>
      <c r="K290" s="93"/>
      <c r="L290" s="93"/>
    </row>
    <row r="291">
      <c r="A291" s="87"/>
      <c r="B291" s="87"/>
      <c r="C291" s="88"/>
      <c r="D291" s="360"/>
      <c r="E291" s="360"/>
      <c r="F291" s="360"/>
      <c r="G291" s="360"/>
      <c r="H291" s="360"/>
      <c r="I291" s="360"/>
      <c r="J291" s="360"/>
      <c r="K291" s="93"/>
      <c r="L291" s="93"/>
      <c r="M291" s="93"/>
      <c r="N291" s="93"/>
      <c r="O291" s="93"/>
      <c r="P291" s="93"/>
      <c r="Q291" s="93"/>
      <c r="R291" s="93"/>
      <c r="S291" s="93"/>
      <c r="T291" s="93"/>
    </row>
    <row r="292">
      <c r="A292" s="90" t="s">
        <v>456</v>
      </c>
      <c r="B292" s="90"/>
      <c r="C292" s="90"/>
      <c r="D292" s="91" t="str">
        <f t="shared" ref="D292:J292" si="152">SUM(D233:D289)-D290</f>
        <v>  101,301,354 </v>
      </c>
      <c r="E292" s="91" t="str">
        <f t="shared" si="152"/>
        <v>  119,067,470 </v>
      </c>
      <c r="F292" s="91" t="str">
        <f t="shared" si="152"/>
        <v>  136,406,080 </v>
      </c>
      <c r="G292" s="91" t="str">
        <f t="shared" si="152"/>
        <v>  155,180,883 </v>
      </c>
      <c r="H292" s="91" t="str">
        <f t="shared" si="152"/>
        <v>  175,492,151 </v>
      </c>
      <c r="I292" s="91" t="str">
        <f t="shared" si="152"/>
        <v>  197,446,593 </v>
      </c>
      <c r="J292" s="91" t="str">
        <f t="shared" si="152"/>
        <v>  221,157,749 </v>
      </c>
      <c r="K292" s="93"/>
      <c r="L292" s="93"/>
      <c r="M292" s="93"/>
      <c r="N292" s="93"/>
      <c r="O292" s="93"/>
      <c r="P292" s="93"/>
      <c r="Q292" s="93"/>
      <c r="R292" s="93"/>
      <c r="S292" s="93"/>
      <c r="T292" s="93"/>
    </row>
    <row r="293">
      <c r="A293" s="90" t="s">
        <v>457</v>
      </c>
      <c r="B293" s="87"/>
      <c r="C293" s="87"/>
      <c r="D293" s="89"/>
      <c r="E293" s="89"/>
      <c r="F293" s="89"/>
      <c r="G293" s="89"/>
      <c r="H293" s="89"/>
      <c r="I293" s="87"/>
      <c r="J293" s="87"/>
      <c r="K293" s="93"/>
      <c r="L293" s="93"/>
      <c r="M293" s="93"/>
      <c r="N293" s="93"/>
      <c r="O293" s="93"/>
      <c r="P293" s="93"/>
      <c r="Q293" s="93"/>
      <c r="R293" s="93"/>
      <c r="S293" s="93"/>
      <c r="T293" s="93"/>
    </row>
    <row r="294">
      <c r="A294" s="87" t="s">
        <v>629</v>
      </c>
      <c r="B294" s="87">
        <v>5.0</v>
      </c>
      <c r="C294" s="88">
        <v>10000.0</v>
      </c>
      <c r="D294" s="88" t="str">
        <f t="shared" ref="D294:J294" si="153">$B$294*$C$294*12*D172</f>
        <v>  600,000 </v>
      </c>
      <c r="E294" s="88" t="str">
        <f t="shared" si="153"/>
        <v>  630,000 </v>
      </c>
      <c r="F294" s="88" t="str">
        <f t="shared" si="153"/>
        <v>  661,500 </v>
      </c>
      <c r="G294" s="88" t="str">
        <f t="shared" si="153"/>
        <v>  694,575 </v>
      </c>
      <c r="H294" s="88" t="str">
        <f t="shared" si="153"/>
        <v>  729,304 </v>
      </c>
      <c r="I294" s="88" t="str">
        <f t="shared" si="153"/>
        <v>  765,769 </v>
      </c>
      <c r="J294" s="88" t="str">
        <f t="shared" si="153"/>
        <v>  804,057 </v>
      </c>
      <c r="K294" s="93"/>
      <c r="L294" s="93"/>
      <c r="M294" s="93"/>
      <c r="N294" s="93"/>
      <c r="O294" s="93"/>
      <c r="P294" s="93"/>
      <c r="Q294" s="93"/>
      <c r="R294" s="93"/>
      <c r="S294" s="93"/>
      <c r="T294" s="93"/>
    </row>
    <row r="295">
      <c r="A295" s="87" t="s">
        <v>630</v>
      </c>
      <c r="B295" s="87">
        <v>1.0</v>
      </c>
      <c r="C295" s="88">
        <v>8000.0</v>
      </c>
      <c r="D295" s="88" t="str">
        <f t="shared" ref="D295:J295" si="154">$B$295*$C$295*12*D172</f>
        <v>  96,000 </v>
      </c>
      <c r="E295" s="88" t="str">
        <f t="shared" si="154"/>
        <v>  100,800 </v>
      </c>
      <c r="F295" s="88" t="str">
        <f t="shared" si="154"/>
        <v>  105,840 </v>
      </c>
      <c r="G295" s="88" t="str">
        <f t="shared" si="154"/>
        <v>  111,132 </v>
      </c>
      <c r="H295" s="88" t="str">
        <f t="shared" si="154"/>
        <v>  116,689 </v>
      </c>
      <c r="I295" s="88" t="str">
        <f t="shared" si="154"/>
        <v>  122,523 </v>
      </c>
      <c r="J295" s="88" t="str">
        <f t="shared" si="154"/>
        <v>  128,649 </v>
      </c>
      <c r="K295" s="93"/>
      <c r="L295" s="93"/>
      <c r="M295" s="93"/>
      <c r="N295" s="125"/>
      <c r="O295" s="93"/>
      <c r="P295" s="93"/>
      <c r="Q295" s="93"/>
      <c r="R295" s="93"/>
      <c r="S295" s="93"/>
      <c r="T295" s="93"/>
    </row>
    <row r="296">
      <c r="A296" s="87" t="s">
        <v>631</v>
      </c>
      <c r="B296" s="87">
        <v>1.0</v>
      </c>
      <c r="C296" s="88">
        <v>20000.0</v>
      </c>
      <c r="D296" s="88" t="str">
        <f t="shared" ref="D296:J296" si="155">$B$296*$C$296*12*D172</f>
        <v>  240,000 </v>
      </c>
      <c r="E296" s="88" t="str">
        <f t="shared" si="155"/>
        <v>  252,000 </v>
      </c>
      <c r="F296" s="88" t="str">
        <f t="shared" si="155"/>
        <v>  264,600 </v>
      </c>
      <c r="G296" s="88" t="str">
        <f t="shared" si="155"/>
        <v>  277,830 </v>
      </c>
      <c r="H296" s="88" t="str">
        <f t="shared" si="155"/>
        <v>  291,722 </v>
      </c>
      <c r="I296" s="88" t="str">
        <f t="shared" si="155"/>
        <v>  306,308 </v>
      </c>
      <c r="J296" s="88" t="str">
        <f t="shared" si="155"/>
        <v>  321,623 </v>
      </c>
      <c r="K296" s="93"/>
      <c r="L296" s="93"/>
      <c r="M296" s="93"/>
      <c r="N296" s="93"/>
      <c r="O296" s="93"/>
      <c r="P296" s="93"/>
      <c r="Q296" s="93"/>
      <c r="R296" s="93"/>
      <c r="S296" s="93"/>
      <c r="T296" s="93"/>
    </row>
    <row r="297">
      <c r="A297" s="87" t="s">
        <v>117</v>
      </c>
      <c r="B297" s="87">
        <v>1.0</v>
      </c>
      <c r="C297" s="88">
        <v>20000.0</v>
      </c>
      <c r="D297" s="88" t="str">
        <f t="shared" ref="D297:J297" si="156">$B$297*$C$297*12*D172</f>
        <v>  240,000 </v>
      </c>
      <c r="E297" s="88" t="str">
        <f t="shared" si="156"/>
        <v>  252,000 </v>
      </c>
      <c r="F297" s="88" t="str">
        <f t="shared" si="156"/>
        <v>  264,600 </v>
      </c>
      <c r="G297" s="88" t="str">
        <f t="shared" si="156"/>
        <v>  277,830 </v>
      </c>
      <c r="H297" s="88" t="str">
        <f t="shared" si="156"/>
        <v>  291,722 </v>
      </c>
      <c r="I297" s="88" t="str">
        <f t="shared" si="156"/>
        <v>  306,308 </v>
      </c>
      <c r="J297" s="88" t="str">
        <f t="shared" si="156"/>
        <v>  321,623 </v>
      </c>
      <c r="K297" s="93"/>
      <c r="L297" s="93"/>
      <c r="M297" s="93"/>
      <c r="N297" s="93"/>
      <c r="O297" s="93"/>
      <c r="P297" s="93"/>
      <c r="Q297" s="93"/>
      <c r="R297" s="93"/>
      <c r="S297" s="93"/>
      <c r="T297" s="93"/>
    </row>
    <row r="298">
      <c r="A298" s="87"/>
      <c r="B298" s="87"/>
      <c r="C298" s="88"/>
      <c r="D298" s="88"/>
      <c r="E298" s="88"/>
      <c r="F298" s="88"/>
      <c r="G298" s="88"/>
      <c r="H298" s="88"/>
      <c r="I298" s="88"/>
      <c r="J298" s="88"/>
      <c r="K298" s="93"/>
      <c r="L298" s="93"/>
      <c r="M298" s="93"/>
      <c r="N298" s="93"/>
      <c r="O298" s="93"/>
      <c r="P298" s="93"/>
      <c r="Q298" s="93"/>
      <c r="R298" s="93"/>
      <c r="S298" s="93"/>
      <c r="T298" s="93"/>
    </row>
    <row r="299">
      <c r="A299" s="87"/>
      <c r="B299" s="87"/>
      <c r="C299" s="88"/>
      <c r="D299" s="88"/>
      <c r="E299" s="88"/>
      <c r="F299" s="88"/>
      <c r="G299" s="88"/>
      <c r="H299" s="88"/>
      <c r="I299" s="88"/>
      <c r="J299" s="88"/>
      <c r="K299" s="93"/>
      <c r="L299" s="93"/>
      <c r="M299" s="93"/>
      <c r="N299" s="93"/>
      <c r="O299" s="93"/>
      <c r="P299" s="93"/>
      <c r="Q299" s="93"/>
      <c r="R299" s="93"/>
      <c r="S299" s="93"/>
      <c r="T299" s="93"/>
    </row>
    <row r="300">
      <c r="A300" s="87"/>
      <c r="B300" s="87"/>
      <c r="C300" s="88"/>
      <c r="D300" s="88"/>
      <c r="E300" s="88"/>
      <c r="F300" s="88"/>
      <c r="G300" s="88"/>
      <c r="H300" s="88"/>
      <c r="I300" s="88"/>
      <c r="J300" s="88"/>
      <c r="K300" s="93"/>
      <c r="L300" s="93"/>
      <c r="M300" s="93"/>
      <c r="N300" s="93"/>
      <c r="O300" s="93"/>
      <c r="P300" s="93"/>
      <c r="Q300" s="93"/>
      <c r="R300" s="93"/>
      <c r="S300" s="93"/>
      <c r="T300" s="93"/>
    </row>
    <row r="301">
      <c r="A301" s="90" t="s">
        <v>459</v>
      </c>
      <c r="B301" s="90"/>
      <c r="C301" s="90"/>
      <c r="D301" s="91" t="str">
        <f t="shared" ref="D301:J301" si="157">SUM(D294:D300)</f>
        <v>  1,176,000 </v>
      </c>
      <c r="E301" s="91" t="str">
        <f t="shared" si="157"/>
        <v>  1,234,800 </v>
      </c>
      <c r="F301" s="91" t="str">
        <f t="shared" si="157"/>
        <v>  1,296,540 </v>
      </c>
      <c r="G301" s="91" t="str">
        <f t="shared" si="157"/>
        <v>  1,361,367 </v>
      </c>
      <c r="H301" s="91" t="str">
        <f t="shared" si="157"/>
        <v>  1,429,435 </v>
      </c>
      <c r="I301" s="91" t="str">
        <f t="shared" si="157"/>
        <v>  1,500,907 </v>
      </c>
      <c r="J301" s="91" t="str">
        <f t="shared" si="157"/>
        <v>  1,575,952 </v>
      </c>
      <c r="K301" s="93"/>
      <c r="L301" s="93"/>
      <c r="M301" s="93"/>
      <c r="N301" s="125"/>
      <c r="O301" s="93"/>
      <c r="P301" s="93"/>
      <c r="Q301" s="93"/>
      <c r="R301" s="93"/>
      <c r="S301" s="93"/>
      <c r="T301" s="93"/>
    </row>
    <row r="302">
      <c r="A302" s="90" t="s">
        <v>632</v>
      </c>
      <c r="B302" s="90"/>
      <c r="C302" s="90"/>
      <c r="D302" s="91" t="str">
        <f t="shared" ref="D302:J302" si="158">D292+D301</f>
        <v>  102,477,354 </v>
      </c>
      <c r="E302" s="91" t="str">
        <f t="shared" si="158"/>
        <v>  120,302,270 </v>
      </c>
      <c r="F302" s="91" t="str">
        <f t="shared" si="158"/>
        <v>  137,702,620 </v>
      </c>
      <c r="G302" s="91" t="str">
        <f t="shared" si="158"/>
        <v>  156,542,250 </v>
      </c>
      <c r="H302" s="91" t="str">
        <f t="shared" si="158"/>
        <v>  176,921,586 </v>
      </c>
      <c r="I302" s="91" t="str">
        <f t="shared" si="158"/>
        <v>  198,947,500 </v>
      </c>
      <c r="J302" s="91" t="str">
        <f t="shared" si="158"/>
        <v>  222,733,702 </v>
      </c>
      <c r="K302" s="93"/>
      <c r="L302" s="93"/>
      <c r="M302" s="93"/>
      <c r="N302" s="93"/>
      <c r="O302" s="93"/>
      <c r="P302" s="93"/>
      <c r="Q302" s="93"/>
      <c r="R302" s="93"/>
      <c r="S302" s="93"/>
      <c r="T302" s="93"/>
    </row>
    <row r="303">
      <c r="A303" s="87"/>
      <c r="B303" s="87"/>
      <c r="C303" s="87"/>
      <c r="D303" s="89"/>
      <c r="E303" s="89"/>
      <c r="F303" s="89"/>
      <c r="G303" s="89"/>
      <c r="H303" s="89"/>
      <c r="I303" s="87"/>
      <c r="J303" s="87"/>
      <c r="K303" s="93"/>
      <c r="L303" s="93"/>
      <c r="M303" s="93"/>
      <c r="N303" s="93"/>
      <c r="O303" s="93"/>
      <c r="P303" s="93"/>
      <c r="Q303" s="93"/>
      <c r="R303" s="93"/>
      <c r="S303" s="93"/>
      <c r="T303" s="93"/>
    </row>
    <row r="304">
      <c r="A304" s="90"/>
      <c r="B304" s="90"/>
      <c r="C304" s="90"/>
      <c r="D304" s="89"/>
      <c r="E304" s="89"/>
      <c r="F304" s="89"/>
      <c r="G304" s="89"/>
      <c r="H304" s="89"/>
      <c r="I304" s="87"/>
      <c r="J304" s="87"/>
      <c r="K304" s="93"/>
      <c r="L304" s="93"/>
      <c r="M304" s="93"/>
      <c r="N304" s="93"/>
      <c r="O304" s="93"/>
      <c r="P304" s="93"/>
      <c r="Q304" s="93"/>
      <c r="R304" s="93"/>
      <c r="S304" s="93"/>
      <c r="T304" s="93"/>
    </row>
    <row r="305">
      <c r="A305" s="90" t="s">
        <v>633</v>
      </c>
      <c r="B305" s="90"/>
      <c r="C305" s="90"/>
      <c r="D305" s="91" t="str">
        <f t="shared" ref="D305:J305" si="159">D229-D302</f>
        <v>  2,539,131 </v>
      </c>
      <c r="E305" s="91" t="str">
        <f t="shared" si="159"/>
        <v>  3,176,492 </v>
      </c>
      <c r="F305" s="91" t="str">
        <f t="shared" si="159"/>
        <v>  3,757,543 </v>
      </c>
      <c r="G305" s="91" t="str">
        <f t="shared" si="159"/>
        <v>  4,388,757 </v>
      </c>
      <c r="H305" s="91" t="str">
        <f t="shared" si="159"/>
        <v>  5,073,700 </v>
      </c>
      <c r="I305" s="91" t="str">
        <f t="shared" si="159"/>
        <v>  5,816,164 </v>
      </c>
      <c r="J305" s="91" t="str">
        <f t="shared" si="159"/>
        <v>  6,620,191 </v>
      </c>
      <c r="K305" s="93"/>
      <c r="L305" s="93"/>
      <c r="M305" s="93"/>
      <c r="N305" s="93"/>
      <c r="O305" s="93"/>
      <c r="P305" s="93"/>
      <c r="Q305" s="93"/>
      <c r="R305" s="93"/>
      <c r="S305" s="93"/>
      <c r="T305" s="93"/>
    </row>
    <row r="306">
      <c r="A306" s="93"/>
      <c r="B306" s="93"/>
      <c r="C306" s="93"/>
      <c r="D306" s="93"/>
      <c r="E306" s="93"/>
      <c r="F306" s="93"/>
      <c r="G306" s="93"/>
      <c r="H306" s="93"/>
      <c r="I306" s="93"/>
      <c r="J306" s="93"/>
    </row>
    <row r="307">
      <c r="A307" s="93" t="s">
        <v>634</v>
      </c>
      <c r="B307" s="93"/>
      <c r="C307" s="93"/>
      <c r="D307" s="93"/>
      <c r="E307" s="93"/>
      <c r="F307" s="93"/>
      <c r="G307" s="93"/>
      <c r="H307" s="93"/>
      <c r="I307" s="93"/>
      <c r="J307" s="93"/>
    </row>
    <row r="308">
      <c r="A308" s="45" t="s">
        <v>635</v>
      </c>
    </row>
    <row r="310">
      <c r="A310" t="s">
        <v>413</v>
      </c>
    </row>
    <row r="311">
      <c r="A311">
        <v>1.0</v>
      </c>
      <c r="B311" t="s">
        <v>636</v>
      </c>
    </row>
    <row r="312">
      <c r="A312">
        <v>2.0</v>
      </c>
      <c r="B312" t="s">
        <v>637</v>
      </c>
    </row>
    <row r="313">
      <c r="A313">
        <v>3.0</v>
      </c>
      <c r="B313" s="93" t="s">
        <v>638</v>
      </c>
    </row>
  </sheetData>
  <mergeCells count="5">
    <mergeCell ref="A170:J170"/>
    <mergeCell ref="A2:H2"/>
    <mergeCell ref="A308:J308"/>
    <mergeCell ref="F4:H4"/>
    <mergeCell ref="A3:H3"/>
  </mergeCells>
  <printOptions/>
  <pageMargins bottom="0.75" footer="0.0" header="0.0" left="0.7" right="0.7" top="0.75"/>
  <pageSetup paperSize="9" scale="52"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8" width="17.29"/>
    <col customWidth="1" min="9" max="9" width="18.71"/>
    <col customWidth="1" min="10" max="10" width="20.29"/>
    <col customWidth="1" min="11" max="14" width="8.71"/>
  </cols>
  <sheetData>
    <row r="1"/>
    <row r="2"/>
    <row r="3">
      <c r="A3" s="25" t="s">
        <v>639</v>
      </c>
    </row>
    <row r="4">
      <c r="A4" s="25" t="s">
        <v>640</v>
      </c>
    </row>
    <row r="5">
      <c r="A5" s="93" t="s">
        <v>218</v>
      </c>
      <c r="B5" s="366">
        <v>10.0</v>
      </c>
      <c r="C5" s="93" t="s">
        <v>641</v>
      </c>
      <c r="D5" s="93"/>
      <c r="E5" s="93"/>
      <c r="F5" s="93"/>
      <c r="G5" s="93"/>
      <c r="H5" s="93"/>
    </row>
    <row r="6">
      <c r="A6" s="93" t="s">
        <v>608</v>
      </c>
      <c r="B6" s="367">
        <v>8.0</v>
      </c>
      <c r="C6" s="93"/>
      <c r="D6" s="93"/>
      <c r="E6" s="93"/>
      <c r="F6" s="93"/>
      <c r="G6" s="93"/>
      <c r="H6" s="93"/>
    </row>
    <row r="7">
      <c r="A7" s="93"/>
      <c r="B7" s="367"/>
      <c r="C7" s="93"/>
      <c r="D7" s="93"/>
      <c r="E7" s="93"/>
      <c r="F7" s="93"/>
      <c r="G7" s="93"/>
      <c r="H7" s="93"/>
    </row>
    <row r="8">
      <c r="A8" s="93"/>
      <c r="B8" s="367"/>
      <c r="C8" s="93"/>
      <c r="D8" s="93"/>
      <c r="E8" s="93"/>
      <c r="F8" s="93"/>
      <c r="G8" s="93"/>
      <c r="H8" s="93"/>
    </row>
    <row r="9">
      <c r="A9" s="93"/>
      <c r="B9" s="93"/>
      <c r="C9" s="93"/>
      <c r="D9" s="93"/>
      <c r="E9" s="93"/>
      <c r="F9" s="93"/>
      <c r="G9" s="93"/>
      <c r="H9" s="93"/>
    </row>
    <row r="10">
      <c r="A10" s="93"/>
      <c r="B10" s="93"/>
      <c r="C10" s="93"/>
      <c r="D10" s="93"/>
      <c r="E10" s="93"/>
      <c r="F10" s="93"/>
      <c r="G10" s="93"/>
      <c r="H10" s="93"/>
    </row>
    <row r="11">
      <c r="A11" s="97" t="s">
        <v>156</v>
      </c>
      <c r="B11" s="98" t="s">
        <v>137</v>
      </c>
      <c r="C11" s="98" t="s">
        <v>138</v>
      </c>
      <c r="D11" s="98" t="s">
        <v>139</v>
      </c>
      <c r="E11" s="98" t="s">
        <v>140</v>
      </c>
      <c r="F11" s="98" t="s">
        <v>141</v>
      </c>
      <c r="G11" s="98" t="s">
        <v>142</v>
      </c>
      <c r="H11" s="98" t="s">
        <v>143</v>
      </c>
    </row>
    <row r="12">
      <c r="A12" s="87" t="s">
        <v>642</v>
      </c>
      <c r="B12" s="368" t="str">
        <f t="shared" ref="B12:H12" si="1">B32/($B$5*$B$6)</f>
        <v>154</v>
      </c>
      <c r="C12" s="368" t="str">
        <f t="shared" si="1"/>
        <v>169</v>
      </c>
      <c r="D12" s="368" t="str">
        <f t="shared" si="1"/>
        <v>184</v>
      </c>
      <c r="E12" s="368" t="str">
        <f t="shared" si="1"/>
        <v>200</v>
      </c>
      <c r="F12" s="368" t="str">
        <f t="shared" si="1"/>
        <v>215</v>
      </c>
      <c r="G12" s="368" t="str">
        <f t="shared" si="1"/>
        <v>231</v>
      </c>
      <c r="H12" s="368" t="str">
        <f t="shared" si="1"/>
        <v>246</v>
      </c>
    </row>
    <row r="13">
      <c r="A13" s="87" t="str">
        <f>'10.Grain Production details'!A67</f>
        <v>Soybean</v>
      </c>
      <c r="B13" s="89" t="str">
        <f>'10.Grain Production details'!B67</f>
        <v>0.00</v>
      </c>
      <c r="C13" s="89" t="str">
        <f>'10.Grain Production details'!C67</f>
        <v>0.00</v>
      </c>
      <c r="D13" s="89" t="str">
        <f>'10.Grain Production details'!D67</f>
        <v>0.00</v>
      </c>
      <c r="E13" s="89" t="str">
        <f>'10.Grain Production details'!E67</f>
        <v>0.00</v>
      </c>
      <c r="F13" s="89" t="str">
        <f>'10.Grain Production details'!F67</f>
        <v>0.00</v>
      </c>
      <c r="G13" s="89" t="str">
        <f>'10.Grain Production details'!G67</f>
        <v>0.00</v>
      </c>
      <c r="H13" s="89" t="str">
        <f>'10.Grain Production details'!H67</f>
        <v>0.00</v>
      </c>
    </row>
    <row r="14">
      <c r="A14" s="87" t="str">
        <f>'10.Grain Production details'!A68</f>
        <v>Red Gram/Tur</v>
      </c>
      <c r="B14" s="89" t="str">
        <f>'10.Grain Production details'!B68</f>
        <v>3207.96</v>
      </c>
      <c r="C14" s="89" t="str">
        <f>'10.Grain Production details'!C68</f>
        <v>3528.76</v>
      </c>
      <c r="D14" s="89" t="str">
        <f>'10.Grain Production details'!D68</f>
        <v>3849.55</v>
      </c>
      <c r="E14" s="89" t="str">
        <f>'10.Grain Production details'!E68</f>
        <v>4170.35</v>
      </c>
      <c r="F14" s="89" t="str">
        <f>'10.Grain Production details'!F68</f>
        <v>4491.14</v>
      </c>
      <c r="G14" s="89" t="str">
        <f>'10.Grain Production details'!G68</f>
        <v>4811.94</v>
      </c>
      <c r="H14" s="89" t="str">
        <f>'10.Grain Production details'!H68</f>
        <v>5132.74</v>
      </c>
    </row>
    <row r="15">
      <c r="A15" s="87" t="str">
        <f>'10.Grain Production details'!A69</f>
        <v>Paddy/Rice</v>
      </c>
      <c r="B15" s="368" t="str">
        <f>'10.Grain Production details'!B69</f>
        <v>0</v>
      </c>
      <c r="C15" s="368" t="str">
        <f>'10.Grain Production details'!C69</f>
        <v>0</v>
      </c>
      <c r="D15" s="368" t="str">
        <f>'10.Grain Production details'!D69</f>
        <v>0</v>
      </c>
      <c r="E15" s="368" t="str">
        <f>'10.Grain Production details'!E69</f>
        <v>0</v>
      </c>
      <c r="F15" s="368" t="str">
        <f>'10.Grain Production details'!F69</f>
        <v>0</v>
      </c>
      <c r="G15" s="368" t="str">
        <f>'10.Grain Production details'!G69</f>
        <v>0</v>
      </c>
      <c r="H15" s="368" t="str">
        <f>'10.Grain Production details'!H69</f>
        <v>0</v>
      </c>
    </row>
    <row r="16">
      <c r="A16" s="87" t="str">
        <f>'10.Grain Production details'!A70</f>
        <v>Green Gram/ Moong</v>
      </c>
      <c r="B16" s="368" t="str">
        <f>'10.Grain Production details'!B70</f>
        <v>0</v>
      </c>
      <c r="C16" s="368" t="str">
        <f>'10.Grain Production details'!C70</f>
        <v>0</v>
      </c>
      <c r="D16" s="368" t="str">
        <f>'10.Grain Production details'!D70</f>
        <v>0</v>
      </c>
      <c r="E16" s="368" t="str">
        <f>'10.Grain Production details'!E70</f>
        <v>0</v>
      </c>
      <c r="F16" s="368" t="str">
        <f>'10.Grain Production details'!F70</f>
        <v>0</v>
      </c>
      <c r="G16" s="368" t="str">
        <f>'10.Grain Production details'!G70</f>
        <v>0</v>
      </c>
      <c r="H16" s="368" t="str">
        <f>'10.Grain Production details'!H70</f>
        <v>0</v>
      </c>
    </row>
    <row r="17">
      <c r="A17" s="87" t="str">
        <f>'10.Grain Production details'!A71</f>
        <v>Maize</v>
      </c>
      <c r="B17" s="368" t="str">
        <f>'10.Grain Production details'!B71</f>
        <v>0</v>
      </c>
      <c r="C17" s="368" t="str">
        <f>'10.Grain Production details'!C71</f>
        <v>0</v>
      </c>
      <c r="D17" s="368" t="str">
        <f>'10.Grain Production details'!D71</f>
        <v>0</v>
      </c>
      <c r="E17" s="368" t="str">
        <f>'10.Grain Production details'!E71</f>
        <v>0</v>
      </c>
      <c r="F17" s="368" t="str">
        <f>'10.Grain Production details'!F71</f>
        <v>0</v>
      </c>
      <c r="G17" s="368" t="str">
        <f>'10.Grain Production details'!G71</f>
        <v>0</v>
      </c>
      <c r="H17" s="368" t="str">
        <f>'10.Grain Production details'!H71</f>
        <v>0</v>
      </c>
    </row>
    <row r="18">
      <c r="A18" s="87" t="str">
        <f>'10.Grain Production details'!A72</f>
        <v>Black Gram/Udid</v>
      </c>
      <c r="B18" s="368" t="str">
        <f>'10.Grain Production details'!B72</f>
        <v>0</v>
      </c>
      <c r="C18" s="368" t="str">
        <f>'10.Grain Production details'!C72</f>
        <v>0</v>
      </c>
      <c r="D18" s="368" t="str">
        <f>'10.Grain Production details'!D72</f>
        <v>0</v>
      </c>
      <c r="E18" s="368" t="str">
        <f>'10.Grain Production details'!E72</f>
        <v>0</v>
      </c>
      <c r="F18" s="368" t="str">
        <f>'10.Grain Production details'!F72</f>
        <v>0</v>
      </c>
      <c r="G18" s="368" t="str">
        <f>'10.Grain Production details'!G72</f>
        <v>0</v>
      </c>
      <c r="H18" s="368" t="str">
        <f>'10.Grain Production details'!H72</f>
        <v>0</v>
      </c>
    </row>
    <row r="19">
      <c r="A19" s="87" t="str">
        <f>'10.Grain Production details'!A73</f>
        <v>Bajra</v>
      </c>
      <c r="B19" s="368" t="str">
        <f>'10.Grain Production details'!B73</f>
        <v>0</v>
      </c>
      <c r="C19" s="368" t="str">
        <f>'10.Grain Production details'!C73</f>
        <v>0</v>
      </c>
      <c r="D19" s="368" t="str">
        <f>'10.Grain Production details'!D73</f>
        <v>0</v>
      </c>
      <c r="E19" s="368" t="str">
        <f>'10.Grain Production details'!E73</f>
        <v>0</v>
      </c>
      <c r="F19" s="368" t="str">
        <f>'10.Grain Production details'!F73</f>
        <v>0</v>
      </c>
      <c r="G19" s="368" t="str">
        <f>'10.Grain Production details'!G73</f>
        <v>0</v>
      </c>
      <c r="H19" s="368" t="str">
        <f>'10.Grain Production details'!H73</f>
        <v>0</v>
      </c>
    </row>
    <row r="20">
      <c r="A20" s="87" t="str">
        <f>'10.Grain Production details'!A74</f>
        <v>Jawar</v>
      </c>
      <c r="B20" s="368" t="str">
        <f>'10.Grain Production details'!B74</f>
        <v>0</v>
      </c>
      <c r="C20" s="368" t="str">
        <f>'10.Grain Production details'!C74</f>
        <v>0</v>
      </c>
      <c r="D20" s="368" t="str">
        <f>'10.Grain Production details'!D74</f>
        <v>0</v>
      </c>
      <c r="E20" s="368" t="str">
        <f>'10.Grain Production details'!E74</f>
        <v>0</v>
      </c>
      <c r="F20" s="368" t="str">
        <f>'10.Grain Production details'!F74</f>
        <v>0</v>
      </c>
      <c r="G20" s="368" t="str">
        <f>'10.Grain Production details'!G74</f>
        <v>0</v>
      </c>
      <c r="H20" s="368" t="str">
        <f>'10.Grain Production details'!H74</f>
        <v>0</v>
      </c>
    </row>
    <row r="21">
      <c r="A21" s="87" t="str">
        <f>'10.Grain Production details'!A75</f>
        <v>Sunflower</v>
      </c>
      <c r="B21" s="368" t="str">
        <f>'10.Grain Production details'!B75</f>
        <v>0</v>
      </c>
      <c r="C21" s="368" t="str">
        <f>'10.Grain Production details'!C75</f>
        <v>0</v>
      </c>
      <c r="D21" s="368" t="str">
        <f>'10.Grain Production details'!D75</f>
        <v>0</v>
      </c>
      <c r="E21" s="368" t="str">
        <f>'10.Grain Production details'!E75</f>
        <v>0</v>
      </c>
      <c r="F21" s="368" t="str">
        <f>'10.Grain Production details'!F75</f>
        <v>0</v>
      </c>
      <c r="G21" s="368" t="str">
        <f>'10.Grain Production details'!G75</f>
        <v>0</v>
      </c>
      <c r="H21" s="368" t="str">
        <f>'10.Grain Production details'!H75</f>
        <v>0</v>
      </c>
    </row>
    <row r="22">
      <c r="A22" s="87" t="str">
        <f>'10.Grain Production details'!A76</f>
        <v>Wheat</v>
      </c>
      <c r="B22" s="368" t="str">
        <f>'10.Grain Production details'!B76</f>
        <v>0</v>
      </c>
      <c r="C22" s="368" t="str">
        <f>'10.Grain Production details'!C76</f>
        <v>0</v>
      </c>
      <c r="D22" s="368" t="str">
        <f>'10.Grain Production details'!D76</f>
        <v>0</v>
      </c>
      <c r="E22" s="368" t="str">
        <f>'10.Grain Production details'!E76</f>
        <v>0</v>
      </c>
      <c r="F22" s="368" t="str">
        <f>'10.Grain Production details'!F76</f>
        <v>0</v>
      </c>
      <c r="G22" s="368" t="str">
        <f>'10.Grain Production details'!G76</f>
        <v>0</v>
      </c>
      <c r="H22" s="368" t="str">
        <f>'10.Grain Production details'!H76</f>
        <v>0</v>
      </c>
    </row>
    <row r="23">
      <c r="A23" s="87" t="str">
        <f>'10.Grain Production details'!A77</f>
        <v>Bengal Gram/Channa</v>
      </c>
      <c r="B23" s="89" t="str">
        <f>'10.Grain Production details'!B77</f>
        <v>9089.22</v>
      </c>
      <c r="C23" s="89" t="str">
        <f>'10.Grain Production details'!C77</f>
        <v>9998.14</v>
      </c>
      <c r="D23" s="89" t="str">
        <f>'10.Grain Production details'!D77</f>
        <v>10907.06</v>
      </c>
      <c r="E23" s="89" t="str">
        <f>'10.Grain Production details'!E77</f>
        <v>11815.99</v>
      </c>
      <c r="F23" s="89" t="str">
        <f>'10.Grain Production details'!F77</f>
        <v>12724.91</v>
      </c>
      <c r="G23" s="89" t="str">
        <f>'10.Grain Production details'!G77</f>
        <v>13633.83</v>
      </c>
      <c r="H23" s="89" t="str">
        <f>'10.Grain Production details'!H77</f>
        <v>14542.75</v>
      </c>
    </row>
    <row r="24">
      <c r="A24" s="87" t="str">
        <f>'10.Grain Production details'!A78</f>
        <v>Jawar</v>
      </c>
      <c r="B24" s="368" t="str">
        <f>'10.Grain Production details'!B78</f>
        <v>0</v>
      </c>
      <c r="C24" s="368" t="str">
        <f>'10.Grain Production details'!C78</f>
        <v>0</v>
      </c>
      <c r="D24" s="368" t="str">
        <f>'10.Grain Production details'!D78</f>
        <v>0</v>
      </c>
      <c r="E24" s="368" t="str">
        <f>'10.Grain Production details'!E78</f>
        <v>0</v>
      </c>
      <c r="F24" s="368" t="str">
        <f>'10.Grain Production details'!F78</f>
        <v>0</v>
      </c>
      <c r="G24" s="368" t="str">
        <f>'10.Grain Production details'!G78</f>
        <v>0</v>
      </c>
      <c r="H24" s="368" t="str">
        <f>'10.Grain Production details'!H78</f>
        <v>0</v>
      </c>
    </row>
    <row r="25">
      <c r="A25" s="87" t="str">
        <f>'10.Grain Production details'!A79</f>
        <v>Maize</v>
      </c>
      <c r="B25" s="87" t="str">
        <f>'10.Grain Production details'!B79</f>
        <v>0</v>
      </c>
      <c r="C25" s="87" t="str">
        <f>'10.Grain Production details'!C79</f>
        <v>0</v>
      </c>
      <c r="D25" s="87" t="str">
        <f>'10.Grain Production details'!D79</f>
        <v>0</v>
      </c>
      <c r="E25" s="87" t="str">
        <f>'10.Grain Production details'!E79</f>
        <v>0</v>
      </c>
      <c r="F25" s="87" t="str">
        <f>'10.Grain Production details'!F79</f>
        <v>0</v>
      </c>
      <c r="G25" s="87" t="str">
        <f>'10.Grain Production details'!G79</f>
        <v>0</v>
      </c>
      <c r="H25" s="87" t="str">
        <f>'10.Grain Production details'!H79</f>
        <v>0</v>
      </c>
    </row>
    <row r="26">
      <c r="A26" s="87" t="str">
        <f>'10.Grain Production details'!A80</f>
        <v>Safflower</v>
      </c>
      <c r="B26" s="87" t="str">
        <f>'10.Grain Production details'!B80</f>
        <v>0</v>
      </c>
      <c r="C26" s="87" t="str">
        <f>'10.Grain Production details'!C80</f>
        <v>0</v>
      </c>
      <c r="D26" s="87" t="str">
        <f>'10.Grain Production details'!D80</f>
        <v>0</v>
      </c>
      <c r="E26" s="87" t="str">
        <f>'10.Grain Production details'!E80</f>
        <v>0</v>
      </c>
      <c r="F26" s="87" t="str">
        <f>'10.Grain Production details'!F80</f>
        <v>0</v>
      </c>
      <c r="G26" s="87" t="str">
        <f>'10.Grain Production details'!G80</f>
        <v>0</v>
      </c>
      <c r="H26" s="87" t="str">
        <f>'10.Grain Production details'!H80</f>
        <v>0</v>
      </c>
    </row>
    <row r="27">
      <c r="A27" s="87" t="str">
        <f>'10.Grain Production details'!A81</f>
        <v/>
      </c>
      <c r="B27" s="87" t="str">
        <f>'10.Grain Production details'!B81</f>
        <v>0</v>
      </c>
      <c r="C27" s="87" t="str">
        <f>'10.Grain Production details'!C81</f>
        <v>0</v>
      </c>
      <c r="D27" s="87" t="str">
        <f>'10.Grain Production details'!D81</f>
        <v>0</v>
      </c>
      <c r="E27" s="87" t="str">
        <f>'10.Grain Production details'!E81</f>
        <v>0</v>
      </c>
      <c r="F27" s="87" t="str">
        <f>'10.Grain Production details'!F81</f>
        <v>0</v>
      </c>
      <c r="G27" s="87" t="str">
        <f>'10.Grain Production details'!G81</f>
        <v>0</v>
      </c>
      <c r="H27" s="87" t="str">
        <f>'10.Grain Production details'!H81</f>
        <v>0</v>
      </c>
    </row>
    <row r="28">
      <c r="A28" s="87" t="str">
        <f>'10.Grain Production details'!A82</f>
        <v/>
      </c>
      <c r="B28" s="87" t="str">
        <f>'10.Grain Production details'!B82</f>
        <v>0</v>
      </c>
      <c r="C28" s="87" t="str">
        <f>'10.Grain Production details'!C82</f>
        <v>0</v>
      </c>
      <c r="D28" s="87" t="str">
        <f>'10.Grain Production details'!D82</f>
        <v>0</v>
      </c>
      <c r="E28" s="87" t="str">
        <f>'10.Grain Production details'!E82</f>
        <v>0</v>
      </c>
      <c r="F28" s="87" t="str">
        <f>'10.Grain Production details'!F82</f>
        <v>0</v>
      </c>
      <c r="G28" s="87" t="str">
        <f>'10.Grain Production details'!G82</f>
        <v>0</v>
      </c>
      <c r="H28" s="87" t="str">
        <f>'10.Grain Production details'!H82</f>
        <v>0</v>
      </c>
    </row>
    <row r="29">
      <c r="A29" s="87" t="str">
        <f>'10.Grain Production details'!A83</f>
        <v/>
      </c>
      <c r="B29" s="87" t="str">
        <f>'10.Grain Production details'!B83</f>
        <v>0</v>
      </c>
      <c r="C29" s="87" t="str">
        <f>'10.Grain Production details'!C83</f>
        <v>0</v>
      </c>
      <c r="D29" s="87" t="str">
        <f>'10.Grain Production details'!D83</f>
        <v>0</v>
      </c>
      <c r="E29" s="87" t="str">
        <f>'10.Grain Production details'!E83</f>
        <v>0</v>
      </c>
      <c r="F29" s="87" t="str">
        <f>'10.Grain Production details'!F83</f>
        <v>0</v>
      </c>
      <c r="G29" s="87" t="str">
        <f>'10.Grain Production details'!G83</f>
        <v>0</v>
      </c>
      <c r="H29" s="87" t="str">
        <f>'10.Grain Production details'!H83</f>
        <v>0</v>
      </c>
    </row>
    <row r="30">
      <c r="A30" s="87" t="str">
        <f>'10.Grain Production details'!A84</f>
        <v>Groundnut</v>
      </c>
      <c r="B30" s="87" t="str">
        <f>'10.Grain Production details'!B84</f>
        <v>0</v>
      </c>
      <c r="C30" s="87" t="str">
        <f>'10.Grain Production details'!C84</f>
        <v>0</v>
      </c>
      <c r="D30" s="87" t="str">
        <f>'10.Grain Production details'!D84</f>
        <v>0</v>
      </c>
      <c r="E30" s="87" t="str">
        <f>'10.Grain Production details'!E84</f>
        <v>0</v>
      </c>
      <c r="F30" s="87" t="str">
        <f>'10.Grain Production details'!F84</f>
        <v>0</v>
      </c>
      <c r="G30" s="87" t="str">
        <f>'10.Grain Production details'!G84</f>
        <v>0</v>
      </c>
      <c r="H30" s="87" t="str">
        <f>'10.Grain Production details'!H84</f>
        <v>0</v>
      </c>
    </row>
    <row r="31">
      <c r="A31" s="87" t="str">
        <f>'10.Grain Production details'!A85</f>
        <v/>
      </c>
      <c r="B31" s="87" t="str">
        <f>'10.Grain Production details'!B85</f>
        <v>0</v>
      </c>
      <c r="C31" s="87" t="str">
        <f>'10.Grain Production details'!C85</f>
        <v>0</v>
      </c>
      <c r="D31" s="87" t="str">
        <f>'10.Grain Production details'!D85</f>
        <v>0</v>
      </c>
      <c r="E31" s="87" t="str">
        <f>'10.Grain Production details'!E85</f>
        <v>0</v>
      </c>
      <c r="F31" s="87" t="str">
        <f>'10.Grain Production details'!F85</f>
        <v>0</v>
      </c>
      <c r="G31" s="87" t="str">
        <f>'10.Grain Production details'!G85</f>
        <v>0</v>
      </c>
      <c r="H31" s="87" t="str">
        <f>'10.Grain Production details'!H85</f>
        <v>0</v>
      </c>
    </row>
    <row r="32">
      <c r="A32" s="87" t="s">
        <v>643</v>
      </c>
      <c r="B32" s="89" t="str">
        <f t="shared" ref="B32:H32" si="2">SUM(B13:B31)</f>
        <v>12297.18</v>
      </c>
      <c r="C32" s="89" t="str">
        <f t="shared" si="2"/>
        <v>13526.90</v>
      </c>
      <c r="D32" s="89" t="str">
        <f t="shared" si="2"/>
        <v>14756.62</v>
      </c>
      <c r="E32" s="89" t="str">
        <f t="shared" si="2"/>
        <v>15986.33</v>
      </c>
      <c r="F32" s="89" t="str">
        <f t="shared" si="2"/>
        <v>17216.05</v>
      </c>
      <c r="G32" s="89" t="str">
        <f t="shared" si="2"/>
        <v>18445.77</v>
      </c>
      <c r="H32" s="89" t="str">
        <f t="shared" si="2"/>
        <v>19675.49</v>
      </c>
    </row>
    <row r="33">
      <c r="A33" s="369" t="s">
        <v>616</v>
      </c>
      <c r="B33" s="370">
        <v>0.5</v>
      </c>
      <c r="C33" s="370" t="str">
        <f t="shared" ref="C33:H33" si="3">B33</f>
        <v>50%</v>
      </c>
      <c r="D33" s="370" t="str">
        <f t="shared" si="3"/>
        <v>50%</v>
      </c>
      <c r="E33" s="370" t="str">
        <f t="shared" si="3"/>
        <v>50%</v>
      </c>
      <c r="F33" s="370" t="str">
        <f t="shared" si="3"/>
        <v>50%</v>
      </c>
      <c r="G33" s="370" t="str">
        <f t="shared" si="3"/>
        <v>50%</v>
      </c>
      <c r="H33" s="370" t="str">
        <f t="shared" si="3"/>
        <v>50%</v>
      </c>
    </row>
    <row r="34">
      <c r="A34" s="87" t="s">
        <v>644</v>
      </c>
      <c r="B34" s="92" t="str">
        <f t="shared" ref="B34:H34" si="4">1-B33</f>
        <v>50%</v>
      </c>
      <c r="C34" s="92" t="str">
        <f t="shared" si="4"/>
        <v>50%</v>
      </c>
      <c r="D34" s="92" t="str">
        <f t="shared" si="4"/>
        <v>50%</v>
      </c>
      <c r="E34" s="92" t="str">
        <f t="shared" si="4"/>
        <v>50%</v>
      </c>
      <c r="F34" s="92" t="str">
        <f t="shared" si="4"/>
        <v>50%</v>
      </c>
      <c r="G34" s="92" t="str">
        <f t="shared" si="4"/>
        <v>50%</v>
      </c>
      <c r="H34" s="92" t="str">
        <f t="shared" si="4"/>
        <v>50%</v>
      </c>
    </row>
    <row r="35">
      <c r="A35" s="90" t="s">
        <v>616</v>
      </c>
      <c r="B35" s="371" t="str">
        <f t="shared" ref="B35:H35" si="5">B32*B33</f>
        <v>  6,148.59 </v>
      </c>
      <c r="C35" s="371" t="str">
        <f t="shared" si="5"/>
        <v>  6,763.45 </v>
      </c>
      <c r="D35" s="371" t="str">
        <f t="shared" si="5"/>
        <v>  7,378.31 </v>
      </c>
      <c r="E35" s="371" t="str">
        <f t="shared" si="5"/>
        <v>  7,993.17 </v>
      </c>
      <c r="F35" s="371" t="str">
        <f t="shared" si="5"/>
        <v>  8,608.03 </v>
      </c>
      <c r="G35" s="371" t="str">
        <f t="shared" si="5"/>
        <v>  9,222.89 </v>
      </c>
      <c r="H35" s="371" t="str">
        <f t="shared" si="5"/>
        <v>  9,837.74 </v>
      </c>
    </row>
    <row r="36">
      <c r="A36" s="90" t="s">
        <v>645</v>
      </c>
      <c r="B36" s="91"/>
      <c r="C36" s="91"/>
      <c r="D36" s="91"/>
      <c r="E36" s="91"/>
      <c r="F36" s="91"/>
      <c r="G36" s="91"/>
      <c r="H36" s="91"/>
    </row>
    <row r="37">
      <c r="A37" s="87" t="str">
        <f t="shared" ref="A37:A55" si="7">A13</f>
        <v>Soybean</v>
      </c>
      <c r="B37" s="372" t="str">
        <f t="shared" ref="B37:H37" si="6">B13*$B$34</f>
        <v>  -   </v>
      </c>
      <c r="C37" s="372" t="str">
        <f t="shared" si="6"/>
        <v>  -   </v>
      </c>
      <c r="D37" s="372" t="str">
        <f t="shared" si="6"/>
        <v>  -   </v>
      </c>
      <c r="E37" s="372" t="str">
        <f t="shared" si="6"/>
        <v>  -   </v>
      </c>
      <c r="F37" s="372" t="str">
        <f t="shared" si="6"/>
        <v>  -   </v>
      </c>
      <c r="G37" s="372" t="str">
        <f t="shared" si="6"/>
        <v>  -   </v>
      </c>
      <c r="H37" s="372" t="str">
        <f t="shared" si="6"/>
        <v>  -   </v>
      </c>
    </row>
    <row r="38">
      <c r="A38" s="87" t="str">
        <f t="shared" si="7"/>
        <v>Red Gram/Tur</v>
      </c>
      <c r="B38" s="372" t="str">
        <f t="shared" ref="B38:B55" si="8">B14*$B$34</f>
        <v>  1,603.98 </v>
      </c>
      <c r="C38" s="372" t="str">
        <f t="shared" ref="C38:C55" si="9">C14*$C$34</f>
        <v>  1,764.38 </v>
      </c>
      <c r="D38" s="372" t="str">
        <f t="shared" ref="D38:D55" si="10">D14*$D$34</f>
        <v>  1,924.78 </v>
      </c>
      <c r="E38" s="372" t="str">
        <f t="shared" ref="E38:E55" si="11">E14*$E$34</f>
        <v>  2,085.17 </v>
      </c>
      <c r="F38" s="372" t="str">
        <f t="shared" ref="F38:F55" si="12">F14*$F$34</f>
        <v>  2,245.57 </v>
      </c>
      <c r="G38" s="372" t="str">
        <f t="shared" ref="G38:G55" si="13">G14*$G$34</f>
        <v>  2,405.97 </v>
      </c>
      <c r="H38" s="372" t="str">
        <f t="shared" ref="H38:H55" si="14">H14*$H$34</f>
        <v>  2,566.37 </v>
      </c>
    </row>
    <row r="39">
      <c r="A39" s="87" t="str">
        <f t="shared" si="7"/>
        <v>Paddy/Rice</v>
      </c>
      <c r="B39" s="372" t="str">
        <f t="shared" si="8"/>
        <v>  -   </v>
      </c>
      <c r="C39" s="372" t="str">
        <f t="shared" si="9"/>
        <v>  -   </v>
      </c>
      <c r="D39" s="372" t="str">
        <f t="shared" si="10"/>
        <v>  -   </v>
      </c>
      <c r="E39" s="372" t="str">
        <f t="shared" si="11"/>
        <v>  -   </v>
      </c>
      <c r="F39" s="372" t="str">
        <f t="shared" si="12"/>
        <v>  -   </v>
      </c>
      <c r="G39" s="372" t="str">
        <f t="shared" si="13"/>
        <v>  -   </v>
      </c>
      <c r="H39" s="372" t="str">
        <f t="shared" si="14"/>
        <v>  -   </v>
      </c>
    </row>
    <row r="40">
      <c r="A40" s="87" t="str">
        <f t="shared" si="7"/>
        <v>Green Gram/ Moong</v>
      </c>
      <c r="B40" s="372" t="str">
        <f t="shared" si="8"/>
        <v>  -   </v>
      </c>
      <c r="C40" s="372" t="str">
        <f t="shared" si="9"/>
        <v>  -   </v>
      </c>
      <c r="D40" s="372" t="str">
        <f t="shared" si="10"/>
        <v>  -   </v>
      </c>
      <c r="E40" s="372" t="str">
        <f t="shared" si="11"/>
        <v>  -   </v>
      </c>
      <c r="F40" s="372" t="str">
        <f t="shared" si="12"/>
        <v>  -   </v>
      </c>
      <c r="G40" s="372" t="str">
        <f t="shared" si="13"/>
        <v>  -   </v>
      </c>
      <c r="H40" s="372" t="str">
        <f t="shared" si="14"/>
        <v>  -   </v>
      </c>
    </row>
    <row r="41">
      <c r="A41" s="87" t="str">
        <f t="shared" si="7"/>
        <v>Maize</v>
      </c>
      <c r="B41" s="372" t="str">
        <f t="shared" si="8"/>
        <v>  -   </v>
      </c>
      <c r="C41" s="372" t="str">
        <f t="shared" si="9"/>
        <v>  -   </v>
      </c>
      <c r="D41" s="372" t="str">
        <f t="shared" si="10"/>
        <v>  -   </v>
      </c>
      <c r="E41" s="372" t="str">
        <f t="shared" si="11"/>
        <v>  -   </v>
      </c>
      <c r="F41" s="372" t="str">
        <f t="shared" si="12"/>
        <v>  -   </v>
      </c>
      <c r="G41" s="372" t="str">
        <f t="shared" si="13"/>
        <v>  -   </v>
      </c>
      <c r="H41" s="372" t="str">
        <f t="shared" si="14"/>
        <v>  -   </v>
      </c>
    </row>
    <row r="42">
      <c r="A42" s="87" t="str">
        <f t="shared" si="7"/>
        <v>Black Gram/Udid</v>
      </c>
      <c r="B42" s="372" t="str">
        <f t="shared" si="8"/>
        <v>  -   </v>
      </c>
      <c r="C42" s="372" t="str">
        <f t="shared" si="9"/>
        <v>  -   </v>
      </c>
      <c r="D42" s="372" t="str">
        <f t="shared" si="10"/>
        <v>  -   </v>
      </c>
      <c r="E42" s="372" t="str">
        <f t="shared" si="11"/>
        <v>  -   </v>
      </c>
      <c r="F42" s="372" t="str">
        <f t="shared" si="12"/>
        <v>  -   </v>
      </c>
      <c r="G42" s="372" t="str">
        <f t="shared" si="13"/>
        <v>  -   </v>
      </c>
      <c r="H42" s="372" t="str">
        <f t="shared" si="14"/>
        <v>  -   </v>
      </c>
    </row>
    <row r="43">
      <c r="A43" s="87" t="str">
        <f t="shared" si="7"/>
        <v>Bajra</v>
      </c>
      <c r="B43" s="372" t="str">
        <f t="shared" si="8"/>
        <v>  -   </v>
      </c>
      <c r="C43" s="372" t="str">
        <f t="shared" si="9"/>
        <v>  -   </v>
      </c>
      <c r="D43" s="372" t="str">
        <f t="shared" si="10"/>
        <v>  -   </v>
      </c>
      <c r="E43" s="372" t="str">
        <f t="shared" si="11"/>
        <v>  -   </v>
      </c>
      <c r="F43" s="372" t="str">
        <f t="shared" si="12"/>
        <v>  -   </v>
      </c>
      <c r="G43" s="372" t="str">
        <f t="shared" si="13"/>
        <v>  -   </v>
      </c>
      <c r="H43" s="372" t="str">
        <f t="shared" si="14"/>
        <v>  -   </v>
      </c>
    </row>
    <row r="44">
      <c r="A44" s="87" t="str">
        <f t="shared" si="7"/>
        <v>Jawar</v>
      </c>
      <c r="B44" s="372" t="str">
        <f t="shared" si="8"/>
        <v>  -   </v>
      </c>
      <c r="C44" s="372" t="str">
        <f t="shared" si="9"/>
        <v>  -   </v>
      </c>
      <c r="D44" s="372" t="str">
        <f t="shared" si="10"/>
        <v>  -   </v>
      </c>
      <c r="E44" s="372" t="str">
        <f t="shared" si="11"/>
        <v>  -   </v>
      </c>
      <c r="F44" s="372" t="str">
        <f t="shared" si="12"/>
        <v>  -   </v>
      </c>
      <c r="G44" s="372" t="str">
        <f t="shared" si="13"/>
        <v>  -   </v>
      </c>
      <c r="H44" s="372" t="str">
        <f t="shared" si="14"/>
        <v>  -   </v>
      </c>
    </row>
    <row r="45">
      <c r="A45" s="87" t="str">
        <f t="shared" si="7"/>
        <v>Sunflower</v>
      </c>
      <c r="B45" s="372" t="str">
        <f t="shared" si="8"/>
        <v>  -   </v>
      </c>
      <c r="C45" s="372" t="str">
        <f t="shared" si="9"/>
        <v>  -   </v>
      </c>
      <c r="D45" s="372" t="str">
        <f t="shared" si="10"/>
        <v>  -   </v>
      </c>
      <c r="E45" s="372" t="str">
        <f t="shared" si="11"/>
        <v>  -   </v>
      </c>
      <c r="F45" s="372" t="str">
        <f t="shared" si="12"/>
        <v>  -   </v>
      </c>
      <c r="G45" s="372" t="str">
        <f t="shared" si="13"/>
        <v>  -   </v>
      </c>
      <c r="H45" s="372" t="str">
        <f t="shared" si="14"/>
        <v>  -   </v>
      </c>
    </row>
    <row r="46">
      <c r="A46" s="87" t="str">
        <f t="shared" si="7"/>
        <v>Wheat</v>
      </c>
      <c r="B46" s="372" t="str">
        <f t="shared" si="8"/>
        <v>  -   </v>
      </c>
      <c r="C46" s="372" t="str">
        <f t="shared" si="9"/>
        <v>  -   </v>
      </c>
      <c r="D46" s="372" t="str">
        <f t="shared" si="10"/>
        <v>  -   </v>
      </c>
      <c r="E46" s="372" t="str">
        <f t="shared" si="11"/>
        <v>  -   </v>
      </c>
      <c r="F46" s="372" t="str">
        <f t="shared" si="12"/>
        <v>  -   </v>
      </c>
      <c r="G46" s="372" t="str">
        <f t="shared" si="13"/>
        <v>  -   </v>
      </c>
      <c r="H46" s="372" t="str">
        <f t="shared" si="14"/>
        <v>  -   </v>
      </c>
    </row>
    <row r="47">
      <c r="A47" s="87" t="str">
        <f t="shared" si="7"/>
        <v>Bengal Gram/Channa</v>
      </c>
      <c r="B47" s="372" t="str">
        <f t="shared" si="8"/>
        <v>  4,544.61 </v>
      </c>
      <c r="C47" s="372" t="str">
        <f t="shared" si="9"/>
        <v>  4,999.07 </v>
      </c>
      <c r="D47" s="372" t="str">
        <f t="shared" si="10"/>
        <v>  5,453.53 </v>
      </c>
      <c r="E47" s="372" t="str">
        <f t="shared" si="11"/>
        <v>  5,907.99 </v>
      </c>
      <c r="F47" s="372" t="str">
        <f t="shared" si="12"/>
        <v>  6,362.45 </v>
      </c>
      <c r="G47" s="372" t="str">
        <f t="shared" si="13"/>
        <v>  6,816.92 </v>
      </c>
      <c r="H47" s="372" t="str">
        <f t="shared" si="14"/>
        <v>  7,271.38 </v>
      </c>
    </row>
    <row r="48">
      <c r="A48" s="87" t="str">
        <f t="shared" si="7"/>
        <v>Jawar</v>
      </c>
      <c r="B48" s="88" t="str">
        <f t="shared" si="8"/>
        <v>  -   </v>
      </c>
      <c r="C48" s="88" t="str">
        <f t="shared" si="9"/>
        <v>  -   </v>
      </c>
      <c r="D48" s="88" t="str">
        <f t="shared" si="10"/>
        <v>  -   </v>
      </c>
      <c r="E48" s="88" t="str">
        <f t="shared" si="11"/>
        <v>  -   </v>
      </c>
      <c r="F48" s="88" t="str">
        <f t="shared" si="12"/>
        <v>  -   </v>
      </c>
      <c r="G48" s="88" t="str">
        <f t="shared" si="13"/>
        <v>  -   </v>
      </c>
      <c r="H48" s="88" t="str">
        <f t="shared" si="14"/>
        <v>  -   </v>
      </c>
    </row>
    <row r="49">
      <c r="A49" s="87" t="str">
        <f t="shared" si="7"/>
        <v>Maize</v>
      </c>
      <c r="B49" s="88" t="str">
        <f t="shared" si="8"/>
        <v>  -   </v>
      </c>
      <c r="C49" s="88" t="str">
        <f t="shared" si="9"/>
        <v>  -   </v>
      </c>
      <c r="D49" s="88" t="str">
        <f t="shared" si="10"/>
        <v>  -   </v>
      </c>
      <c r="E49" s="88" t="str">
        <f t="shared" si="11"/>
        <v>  -   </v>
      </c>
      <c r="F49" s="88" t="str">
        <f t="shared" si="12"/>
        <v>  -   </v>
      </c>
      <c r="G49" s="88" t="str">
        <f t="shared" si="13"/>
        <v>  -   </v>
      </c>
      <c r="H49" s="88" t="str">
        <f t="shared" si="14"/>
        <v>  -   </v>
      </c>
    </row>
    <row r="50">
      <c r="A50" s="87" t="str">
        <f t="shared" si="7"/>
        <v>Safflower</v>
      </c>
      <c r="B50" s="88" t="str">
        <f t="shared" si="8"/>
        <v>  -   </v>
      </c>
      <c r="C50" s="88" t="str">
        <f t="shared" si="9"/>
        <v>  -   </v>
      </c>
      <c r="D50" s="88" t="str">
        <f t="shared" si="10"/>
        <v>  -   </v>
      </c>
      <c r="E50" s="88" t="str">
        <f t="shared" si="11"/>
        <v>  -   </v>
      </c>
      <c r="F50" s="88" t="str">
        <f t="shared" si="12"/>
        <v>  -   </v>
      </c>
      <c r="G50" s="88" t="str">
        <f t="shared" si="13"/>
        <v>  -   </v>
      </c>
      <c r="H50" s="88" t="str">
        <f t="shared" si="14"/>
        <v>  -   </v>
      </c>
    </row>
    <row r="51">
      <c r="A51" s="87" t="str">
        <f t="shared" si="7"/>
        <v/>
      </c>
      <c r="B51" s="88" t="str">
        <f t="shared" si="8"/>
        <v>  -   </v>
      </c>
      <c r="C51" s="88" t="str">
        <f t="shared" si="9"/>
        <v>  -   </v>
      </c>
      <c r="D51" s="88" t="str">
        <f t="shared" si="10"/>
        <v>  -   </v>
      </c>
      <c r="E51" s="88" t="str">
        <f t="shared" si="11"/>
        <v>  -   </v>
      </c>
      <c r="F51" s="88" t="str">
        <f t="shared" si="12"/>
        <v>  -   </v>
      </c>
      <c r="G51" s="88" t="str">
        <f t="shared" si="13"/>
        <v>  -   </v>
      </c>
      <c r="H51" s="88" t="str">
        <f t="shared" si="14"/>
        <v>  -   </v>
      </c>
    </row>
    <row r="52">
      <c r="A52" s="87" t="str">
        <f t="shared" si="7"/>
        <v/>
      </c>
      <c r="B52" s="88" t="str">
        <f t="shared" si="8"/>
        <v>  -   </v>
      </c>
      <c r="C52" s="88" t="str">
        <f t="shared" si="9"/>
        <v>  -   </v>
      </c>
      <c r="D52" s="88" t="str">
        <f t="shared" si="10"/>
        <v>  -   </v>
      </c>
      <c r="E52" s="88" t="str">
        <f t="shared" si="11"/>
        <v>  -   </v>
      </c>
      <c r="F52" s="88" t="str">
        <f t="shared" si="12"/>
        <v>  -   </v>
      </c>
      <c r="G52" s="88" t="str">
        <f t="shared" si="13"/>
        <v>  -   </v>
      </c>
      <c r="H52" s="88" t="str">
        <f t="shared" si="14"/>
        <v>  -   </v>
      </c>
    </row>
    <row r="53">
      <c r="A53" s="87" t="str">
        <f t="shared" si="7"/>
        <v/>
      </c>
      <c r="B53" s="88" t="str">
        <f t="shared" si="8"/>
        <v>  -   </v>
      </c>
      <c r="C53" s="88" t="str">
        <f t="shared" si="9"/>
        <v>  -   </v>
      </c>
      <c r="D53" s="88" t="str">
        <f t="shared" si="10"/>
        <v>  -   </v>
      </c>
      <c r="E53" s="88" t="str">
        <f t="shared" si="11"/>
        <v>  -   </v>
      </c>
      <c r="F53" s="88" t="str">
        <f t="shared" si="12"/>
        <v>  -   </v>
      </c>
      <c r="G53" s="88" t="str">
        <f t="shared" si="13"/>
        <v>  -   </v>
      </c>
      <c r="H53" s="88" t="str">
        <f t="shared" si="14"/>
        <v>  -   </v>
      </c>
    </row>
    <row r="54">
      <c r="A54" s="87" t="str">
        <f t="shared" si="7"/>
        <v>Groundnut</v>
      </c>
      <c r="B54" s="88" t="str">
        <f t="shared" si="8"/>
        <v>  -   </v>
      </c>
      <c r="C54" s="88" t="str">
        <f t="shared" si="9"/>
        <v>  -   </v>
      </c>
      <c r="D54" s="88" t="str">
        <f t="shared" si="10"/>
        <v>  -   </v>
      </c>
      <c r="E54" s="88" t="str">
        <f t="shared" si="11"/>
        <v>  -   </v>
      </c>
      <c r="F54" s="88" t="str">
        <f t="shared" si="12"/>
        <v>  -   </v>
      </c>
      <c r="G54" s="88" t="str">
        <f t="shared" si="13"/>
        <v>  -   </v>
      </c>
      <c r="H54" s="88" t="str">
        <f t="shared" si="14"/>
        <v>  -   </v>
      </c>
    </row>
    <row r="55">
      <c r="A55" s="87" t="str">
        <f t="shared" si="7"/>
        <v/>
      </c>
      <c r="B55" s="88" t="str">
        <f t="shared" si="8"/>
        <v>  -   </v>
      </c>
      <c r="C55" s="88" t="str">
        <f t="shared" si="9"/>
        <v>  -   </v>
      </c>
      <c r="D55" s="88" t="str">
        <f t="shared" si="10"/>
        <v>  -   </v>
      </c>
      <c r="E55" s="88" t="str">
        <f t="shared" si="11"/>
        <v>  -   </v>
      </c>
      <c r="F55" s="88" t="str">
        <f t="shared" si="12"/>
        <v>  -   </v>
      </c>
      <c r="G55" s="88" t="str">
        <f t="shared" si="13"/>
        <v>  -   </v>
      </c>
      <c r="H55" s="88" t="str">
        <f t="shared" si="14"/>
        <v>  -   </v>
      </c>
    </row>
    <row r="56">
      <c r="A56" s="87"/>
      <c r="B56" s="87"/>
      <c r="C56" s="87"/>
      <c r="D56" s="87"/>
      <c r="E56" s="87"/>
      <c r="F56" s="87"/>
      <c r="G56" s="87"/>
      <c r="H56" s="87"/>
    </row>
    <row r="57">
      <c r="A57" s="90" t="s">
        <v>646</v>
      </c>
      <c r="B57" s="87"/>
      <c r="C57" s="87"/>
      <c r="D57" s="87"/>
      <c r="E57" s="87"/>
      <c r="F57" s="87"/>
      <c r="G57" s="87"/>
      <c r="H57" s="87"/>
    </row>
    <row r="58">
      <c r="A58" s="87" t="str">
        <f t="shared" ref="A58:A59" si="16">A37</f>
        <v>Soybean</v>
      </c>
      <c r="B58" s="89" t="str">
        <f t="shared" ref="B58:H58" si="15">+B37*80%</f>
        <v>0.00</v>
      </c>
      <c r="C58" s="89" t="str">
        <f t="shared" si="15"/>
        <v>0.00</v>
      </c>
      <c r="D58" s="89" t="str">
        <f t="shared" si="15"/>
        <v>0.00</v>
      </c>
      <c r="E58" s="89" t="str">
        <f t="shared" si="15"/>
        <v>0.00</v>
      </c>
      <c r="F58" s="89" t="str">
        <f t="shared" si="15"/>
        <v>0.00</v>
      </c>
      <c r="G58" s="89" t="str">
        <f t="shared" si="15"/>
        <v>0.00</v>
      </c>
      <c r="H58" s="89" t="str">
        <f t="shared" si="15"/>
        <v>0.00</v>
      </c>
    </row>
    <row r="59">
      <c r="A59" s="87" t="str">
        <f t="shared" si="16"/>
        <v>Red Gram/Tur</v>
      </c>
      <c r="B59" s="89" t="str">
        <f t="shared" ref="B59:H59" si="17">+B38*80%</f>
        <v>1283.18</v>
      </c>
      <c r="C59" s="89" t="str">
        <f t="shared" si="17"/>
        <v>1411.50</v>
      </c>
      <c r="D59" s="89" t="str">
        <f t="shared" si="17"/>
        <v>1539.82</v>
      </c>
      <c r="E59" s="89" t="str">
        <f t="shared" si="17"/>
        <v>1668.14</v>
      </c>
      <c r="F59" s="89" t="str">
        <f t="shared" si="17"/>
        <v>1796.46</v>
      </c>
      <c r="G59" s="89" t="str">
        <f t="shared" si="17"/>
        <v>1924.78</v>
      </c>
      <c r="H59" s="89" t="str">
        <f t="shared" si="17"/>
        <v>2053.09</v>
      </c>
    </row>
    <row r="60">
      <c r="A60" s="87" t="str">
        <f>+A47</f>
        <v>Bengal Gram/Channa</v>
      </c>
      <c r="B60" s="89" t="str">
        <f t="shared" ref="B60:H60" si="18">+B47*80%</f>
        <v>3635.69</v>
      </c>
      <c r="C60" s="89" t="str">
        <f t="shared" si="18"/>
        <v>3999.26</v>
      </c>
      <c r="D60" s="89" t="str">
        <f t="shared" si="18"/>
        <v>4362.83</v>
      </c>
      <c r="E60" s="89" t="str">
        <f t="shared" si="18"/>
        <v>4726.39</v>
      </c>
      <c r="F60" s="89" t="str">
        <f t="shared" si="18"/>
        <v>5089.96</v>
      </c>
      <c r="G60" s="89" t="str">
        <f t="shared" si="18"/>
        <v>5453.53</v>
      </c>
      <c r="H60" s="89" t="str">
        <f t="shared" si="18"/>
        <v>5817.10</v>
      </c>
    </row>
    <row r="61">
      <c r="A61" s="87" t="s">
        <v>647</v>
      </c>
      <c r="B61" s="361" t="str">
        <f t="shared" ref="B61:H61" si="19">+SUM(B37:B47)*10%</f>
        <v>  614.86 </v>
      </c>
      <c r="C61" s="361" t="str">
        <f t="shared" si="19"/>
        <v>  676.34 </v>
      </c>
      <c r="D61" s="361" t="str">
        <f t="shared" si="19"/>
        <v>  737.83 </v>
      </c>
      <c r="E61" s="361" t="str">
        <f t="shared" si="19"/>
        <v>  799.32 </v>
      </c>
      <c r="F61" s="361" t="str">
        <f t="shared" si="19"/>
        <v>  860.80 </v>
      </c>
      <c r="G61" s="361" t="str">
        <f t="shared" si="19"/>
        <v>  922.29 </v>
      </c>
      <c r="H61" s="361" t="str">
        <f t="shared" si="19"/>
        <v>  983.77 </v>
      </c>
    </row>
    <row r="62">
      <c r="A62" s="87" t="str">
        <f>A39</f>
        <v>Paddy/Rice</v>
      </c>
      <c r="B62" s="88"/>
      <c r="C62" s="88"/>
      <c r="D62" s="88"/>
      <c r="E62" s="88"/>
      <c r="F62" s="88"/>
      <c r="G62" s="88"/>
      <c r="H62" s="88"/>
    </row>
    <row r="63">
      <c r="A63" s="87"/>
      <c r="B63" s="88"/>
      <c r="C63" s="88"/>
      <c r="D63" s="88"/>
      <c r="E63" s="88"/>
      <c r="F63" s="88"/>
      <c r="G63" s="88"/>
      <c r="H63" s="88"/>
    </row>
    <row r="64">
      <c r="A64" s="87"/>
      <c r="B64" s="88"/>
      <c r="C64" s="88"/>
      <c r="D64" s="88"/>
      <c r="E64" s="88"/>
      <c r="F64" s="88"/>
      <c r="G64" s="88"/>
      <c r="H64" s="88"/>
    </row>
    <row r="65">
      <c r="A65" s="87"/>
      <c r="B65" s="88"/>
      <c r="C65" s="88"/>
      <c r="D65" s="88"/>
      <c r="E65" s="88"/>
      <c r="F65" s="88"/>
      <c r="G65" s="88"/>
      <c r="H65" s="88"/>
    </row>
    <row r="66">
      <c r="A66" s="87" t="str">
        <f>A40</f>
        <v>Green Gram/ Moong</v>
      </c>
      <c r="B66" s="88"/>
      <c r="C66" s="88"/>
      <c r="D66" s="88"/>
      <c r="E66" s="88"/>
      <c r="F66" s="88"/>
      <c r="G66" s="88"/>
      <c r="H66" s="88"/>
    </row>
    <row r="67">
      <c r="A67" s="87" t="s">
        <v>648</v>
      </c>
      <c r="B67" s="88" t="str">
        <f t="shared" ref="B67:H67" si="20">B40*80%</f>
        <v>  -   </v>
      </c>
      <c r="C67" s="88" t="str">
        <f t="shared" si="20"/>
        <v>  -   </v>
      </c>
      <c r="D67" s="88" t="str">
        <f t="shared" si="20"/>
        <v>  -   </v>
      </c>
      <c r="E67" s="88" t="str">
        <f t="shared" si="20"/>
        <v>  -   </v>
      </c>
      <c r="F67" s="88" t="str">
        <f t="shared" si="20"/>
        <v>  -   </v>
      </c>
      <c r="G67" s="88" t="str">
        <f t="shared" si="20"/>
        <v>  -   </v>
      </c>
      <c r="H67" s="88" t="str">
        <f t="shared" si="20"/>
        <v>  -   </v>
      </c>
    </row>
    <row r="68">
      <c r="A68" s="87" t="s">
        <v>647</v>
      </c>
      <c r="B68" s="88" t="str">
        <f t="shared" ref="B68:H68" si="21">B40*20%</f>
        <v>  -   </v>
      </c>
      <c r="C68" s="88" t="str">
        <f t="shared" si="21"/>
        <v>  -   </v>
      </c>
      <c r="D68" s="88" t="str">
        <f t="shared" si="21"/>
        <v>  -   </v>
      </c>
      <c r="E68" s="88" t="str">
        <f t="shared" si="21"/>
        <v>  -   </v>
      </c>
      <c r="F68" s="88" t="str">
        <f t="shared" si="21"/>
        <v>  -   </v>
      </c>
      <c r="G68" s="88" t="str">
        <f t="shared" si="21"/>
        <v>  -   </v>
      </c>
      <c r="H68" s="88" t="str">
        <f t="shared" si="21"/>
        <v>  -   </v>
      </c>
    </row>
    <row r="69">
      <c r="A69" s="87" t="str">
        <f>A41</f>
        <v>Maize</v>
      </c>
      <c r="B69" s="88"/>
      <c r="C69" s="88"/>
      <c r="D69" s="88"/>
      <c r="E69" s="88"/>
      <c r="F69" s="88"/>
      <c r="G69" s="88"/>
      <c r="H69" s="88"/>
    </row>
    <row r="70">
      <c r="A70" s="87"/>
      <c r="B70" s="88"/>
      <c r="C70" s="88"/>
      <c r="D70" s="88"/>
      <c r="E70" s="88"/>
      <c r="F70" s="88"/>
      <c r="G70" s="88"/>
      <c r="H70" s="88"/>
    </row>
    <row r="71">
      <c r="A71" s="87"/>
      <c r="B71" s="88"/>
      <c r="C71" s="88"/>
      <c r="D71" s="88"/>
      <c r="E71" s="88"/>
      <c r="F71" s="88"/>
      <c r="G71" s="88"/>
      <c r="H71" s="88"/>
    </row>
    <row r="72">
      <c r="A72" s="87"/>
      <c r="B72" s="88"/>
      <c r="C72" s="88"/>
      <c r="D72" s="88"/>
      <c r="E72" s="88"/>
      <c r="F72" s="88"/>
      <c r="G72" s="88"/>
      <c r="H72" s="88"/>
    </row>
    <row r="73">
      <c r="A73" s="87"/>
      <c r="B73" s="88"/>
      <c r="C73" s="88"/>
      <c r="D73" s="88"/>
      <c r="E73" s="88"/>
      <c r="F73" s="88"/>
      <c r="G73" s="88"/>
      <c r="H73" s="88"/>
    </row>
    <row r="74">
      <c r="A74" s="87" t="str">
        <f>A42</f>
        <v>Black Gram/Udid</v>
      </c>
      <c r="B74" s="88"/>
      <c r="C74" s="88"/>
      <c r="D74" s="88"/>
      <c r="E74" s="88"/>
      <c r="F74" s="88"/>
      <c r="G74" s="88"/>
      <c r="H74" s="88"/>
    </row>
    <row r="75">
      <c r="A75" s="87" t="s">
        <v>648</v>
      </c>
      <c r="B75" s="88" t="str">
        <f t="shared" ref="B75:H75" si="22">B42*80%</f>
        <v>  -   </v>
      </c>
      <c r="C75" s="88" t="str">
        <f t="shared" si="22"/>
        <v>  -   </v>
      </c>
      <c r="D75" s="88" t="str">
        <f t="shared" si="22"/>
        <v>  -   </v>
      </c>
      <c r="E75" s="88" t="str">
        <f t="shared" si="22"/>
        <v>  -   </v>
      </c>
      <c r="F75" s="88" t="str">
        <f t="shared" si="22"/>
        <v>  -   </v>
      </c>
      <c r="G75" s="88" t="str">
        <f t="shared" si="22"/>
        <v>  -   </v>
      </c>
      <c r="H75" s="88" t="str">
        <f t="shared" si="22"/>
        <v>  -   </v>
      </c>
    </row>
    <row r="76">
      <c r="A76" s="87" t="s">
        <v>647</v>
      </c>
      <c r="B76" s="88" t="str">
        <f t="shared" ref="B76:H76" si="23">B42*20%</f>
        <v>  -   </v>
      </c>
      <c r="C76" s="88" t="str">
        <f t="shared" si="23"/>
        <v>  -   </v>
      </c>
      <c r="D76" s="88" t="str">
        <f t="shared" si="23"/>
        <v>  -   </v>
      </c>
      <c r="E76" s="88" t="str">
        <f t="shared" si="23"/>
        <v>  -   </v>
      </c>
      <c r="F76" s="88" t="str">
        <f t="shared" si="23"/>
        <v>  -   </v>
      </c>
      <c r="G76" s="88" t="str">
        <f t="shared" si="23"/>
        <v>  -   </v>
      </c>
      <c r="H76" s="88" t="str">
        <f t="shared" si="23"/>
        <v>  -   </v>
      </c>
    </row>
    <row r="77">
      <c r="A77" s="87" t="str">
        <f>A43</f>
        <v>Bajra</v>
      </c>
      <c r="B77" s="88"/>
      <c r="C77" s="88"/>
      <c r="D77" s="88"/>
      <c r="E77" s="88"/>
      <c r="F77" s="88"/>
      <c r="G77" s="88"/>
      <c r="H77" s="88"/>
    </row>
    <row r="78">
      <c r="A78" s="87"/>
      <c r="B78" s="88"/>
      <c r="C78" s="88"/>
      <c r="D78" s="88"/>
      <c r="E78" s="88"/>
      <c r="F78" s="88"/>
      <c r="G78" s="88"/>
      <c r="H78" s="88"/>
    </row>
    <row r="79">
      <c r="A79" s="87"/>
      <c r="B79" s="88"/>
      <c r="C79" s="88"/>
      <c r="D79" s="88"/>
      <c r="E79" s="88"/>
      <c r="F79" s="88"/>
      <c r="G79" s="88"/>
      <c r="H79" s="88"/>
    </row>
    <row r="80">
      <c r="A80" s="87" t="str">
        <f>A44</f>
        <v>Jawar</v>
      </c>
      <c r="B80" s="88"/>
      <c r="C80" s="88"/>
      <c r="D80" s="88"/>
      <c r="E80" s="88"/>
      <c r="F80" s="88"/>
      <c r="G80" s="88"/>
      <c r="H80" s="88"/>
    </row>
    <row r="81">
      <c r="A81" s="87"/>
      <c r="B81" s="88"/>
      <c r="C81" s="88"/>
      <c r="D81" s="88"/>
      <c r="E81" s="88"/>
      <c r="F81" s="88"/>
      <c r="G81" s="88"/>
      <c r="H81" s="88"/>
    </row>
    <row r="82">
      <c r="A82" s="87"/>
      <c r="B82" s="88"/>
      <c r="C82" s="88"/>
      <c r="D82" s="88"/>
      <c r="E82" s="88"/>
      <c r="F82" s="88"/>
      <c r="G82" s="88"/>
      <c r="H82" s="88"/>
    </row>
    <row r="83">
      <c r="A83" s="87"/>
      <c r="B83" s="88"/>
      <c r="C83" s="88"/>
      <c r="D83" s="88"/>
      <c r="E83" s="88"/>
      <c r="F83" s="88"/>
      <c r="G83" s="88"/>
      <c r="H83" s="88"/>
    </row>
    <row r="84">
      <c r="A84" s="87" t="str">
        <f>A45</f>
        <v>Sunflower</v>
      </c>
      <c r="B84" s="88"/>
      <c r="C84" s="88"/>
      <c r="D84" s="88"/>
      <c r="E84" s="88"/>
      <c r="F84" s="88"/>
      <c r="G84" s="88"/>
      <c r="H84" s="88"/>
    </row>
    <row r="85">
      <c r="A85" s="87"/>
      <c r="B85" s="88"/>
      <c r="C85" s="88"/>
      <c r="D85" s="88"/>
      <c r="E85" s="88"/>
      <c r="F85" s="88"/>
      <c r="G85" s="88"/>
      <c r="H85" s="88"/>
    </row>
    <row r="86">
      <c r="A86" s="87"/>
      <c r="B86" s="88"/>
      <c r="C86" s="88"/>
      <c r="D86" s="88"/>
      <c r="E86" s="88"/>
      <c r="F86" s="88"/>
      <c r="G86" s="88"/>
      <c r="H86" s="88"/>
    </row>
    <row r="87">
      <c r="A87" s="87"/>
      <c r="B87" s="88"/>
      <c r="C87" s="88"/>
      <c r="D87" s="88"/>
      <c r="E87" s="88"/>
      <c r="F87" s="88"/>
      <c r="G87" s="88"/>
      <c r="H87" s="88"/>
    </row>
    <row r="88">
      <c r="A88" s="87" t="str">
        <f>A46</f>
        <v>Wheat</v>
      </c>
      <c r="B88" s="88"/>
      <c r="C88" s="88"/>
      <c r="D88" s="88"/>
      <c r="E88" s="88"/>
      <c r="F88" s="88"/>
      <c r="G88" s="88"/>
      <c r="H88" s="88"/>
    </row>
    <row r="89">
      <c r="A89" s="87"/>
      <c r="B89" s="88"/>
      <c r="C89" s="88"/>
      <c r="D89" s="88"/>
      <c r="E89" s="88"/>
      <c r="F89" s="88"/>
      <c r="G89" s="88"/>
      <c r="H89" s="88"/>
    </row>
    <row r="90">
      <c r="A90" s="87"/>
      <c r="B90" s="88"/>
      <c r="C90" s="88"/>
      <c r="D90" s="88"/>
      <c r="E90" s="88"/>
      <c r="F90" s="88"/>
      <c r="G90" s="88"/>
      <c r="H90" s="88"/>
    </row>
    <row r="91">
      <c r="A91" s="87" t="str">
        <f>A47</f>
        <v>Bengal Gram/Channa</v>
      </c>
      <c r="B91" s="88"/>
      <c r="C91" s="88"/>
      <c r="D91" s="88"/>
      <c r="E91" s="88"/>
      <c r="F91" s="88"/>
      <c r="G91" s="88"/>
      <c r="H91" s="88"/>
    </row>
    <row r="92">
      <c r="A92" s="87" t="s">
        <v>648</v>
      </c>
      <c r="B92" s="88">
        <v>0.0</v>
      </c>
      <c r="C92" s="88">
        <v>0.0</v>
      </c>
      <c r="D92" s="88">
        <v>0.0</v>
      </c>
      <c r="E92" s="88">
        <v>0.0</v>
      </c>
      <c r="F92" s="88">
        <v>0.0</v>
      </c>
      <c r="G92" s="88">
        <v>0.0</v>
      </c>
      <c r="H92" s="88">
        <v>0.0</v>
      </c>
    </row>
    <row r="93">
      <c r="A93" s="87" t="s">
        <v>647</v>
      </c>
      <c r="B93" s="88">
        <v>0.0</v>
      </c>
      <c r="C93" s="88">
        <v>0.0</v>
      </c>
      <c r="D93" s="88">
        <v>0.0</v>
      </c>
      <c r="E93" s="88">
        <v>0.0</v>
      </c>
      <c r="F93" s="88">
        <v>0.0</v>
      </c>
      <c r="G93" s="88">
        <v>0.0</v>
      </c>
      <c r="H93" s="88">
        <v>0.0</v>
      </c>
    </row>
    <row r="94">
      <c r="A94" s="87" t="str">
        <f>A48</f>
        <v>Jawar</v>
      </c>
      <c r="B94" s="88"/>
      <c r="C94" s="88"/>
      <c r="D94" s="88"/>
      <c r="E94" s="88"/>
      <c r="F94" s="88"/>
      <c r="G94" s="88"/>
      <c r="H94" s="88"/>
    </row>
    <row r="95">
      <c r="A95" s="87"/>
      <c r="B95" s="88"/>
      <c r="C95" s="88"/>
      <c r="D95" s="88"/>
      <c r="E95" s="88"/>
      <c r="F95" s="88"/>
      <c r="G95" s="88"/>
      <c r="H95" s="88"/>
    </row>
    <row r="96">
      <c r="A96" s="87"/>
      <c r="B96" s="88"/>
      <c r="C96" s="88"/>
      <c r="D96" s="88"/>
      <c r="E96" s="88"/>
      <c r="F96" s="88"/>
      <c r="G96" s="88"/>
      <c r="H96" s="88"/>
    </row>
    <row r="97">
      <c r="A97" s="87" t="str">
        <f>A49</f>
        <v>Maize</v>
      </c>
      <c r="B97" s="88"/>
      <c r="C97" s="88"/>
      <c r="D97" s="88"/>
      <c r="E97" s="88"/>
      <c r="F97" s="88"/>
      <c r="G97" s="88"/>
      <c r="H97" s="88"/>
    </row>
    <row r="98">
      <c r="A98" s="87"/>
      <c r="B98" s="88"/>
      <c r="C98" s="88"/>
      <c r="D98" s="88"/>
      <c r="E98" s="88"/>
      <c r="F98" s="88"/>
      <c r="G98" s="88"/>
      <c r="H98" s="88"/>
    </row>
    <row r="99">
      <c r="A99" s="87"/>
      <c r="B99" s="88"/>
      <c r="C99" s="88"/>
      <c r="D99" s="88"/>
      <c r="E99" s="88"/>
      <c r="F99" s="88"/>
      <c r="G99" s="88"/>
      <c r="H99" s="88"/>
    </row>
    <row r="100">
      <c r="A100" s="87" t="str">
        <f>A50</f>
        <v>Safflower</v>
      </c>
      <c r="B100" s="88"/>
      <c r="C100" s="88"/>
      <c r="D100" s="88"/>
      <c r="E100" s="88"/>
      <c r="F100" s="88"/>
      <c r="G100" s="88"/>
      <c r="H100" s="88"/>
    </row>
    <row r="101">
      <c r="A101" s="87"/>
      <c r="B101" s="88"/>
      <c r="C101" s="88"/>
      <c r="D101" s="88"/>
      <c r="E101" s="88"/>
      <c r="F101" s="88"/>
      <c r="G101" s="88"/>
      <c r="H101" s="88"/>
    </row>
    <row r="102">
      <c r="A102" s="87"/>
      <c r="B102" s="88"/>
      <c r="C102" s="88"/>
      <c r="D102" s="88"/>
      <c r="E102" s="88"/>
      <c r="F102" s="88"/>
      <c r="G102" s="88"/>
      <c r="H102" s="88"/>
    </row>
    <row r="103">
      <c r="A103" s="87" t="str">
        <f>A51</f>
        <v/>
      </c>
      <c r="B103" s="88"/>
      <c r="C103" s="88"/>
      <c r="D103" s="88"/>
      <c r="E103" s="88"/>
      <c r="F103" s="88"/>
      <c r="G103" s="88"/>
      <c r="H103" s="88"/>
    </row>
    <row r="104">
      <c r="A104" s="87"/>
      <c r="B104" s="88"/>
      <c r="C104" s="88"/>
      <c r="D104" s="88"/>
      <c r="E104" s="88"/>
      <c r="F104" s="88"/>
      <c r="G104" s="88"/>
      <c r="H104" s="88"/>
    </row>
    <row r="105">
      <c r="A105" s="87"/>
      <c r="B105" s="88"/>
      <c r="C105" s="88"/>
      <c r="D105" s="88"/>
      <c r="E105" s="88"/>
      <c r="F105" s="88"/>
      <c r="G105" s="88"/>
      <c r="H105" s="88"/>
    </row>
    <row r="106">
      <c r="A106" s="87" t="str">
        <f>A52</f>
        <v/>
      </c>
      <c r="B106" s="88"/>
      <c r="C106" s="88"/>
      <c r="D106" s="88"/>
      <c r="E106" s="88"/>
      <c r="F106" s="88"/>
      <c r="G106" s="88"/>
      <c r="H106" s="88"/>
    </row>
    <row r="107">
      <c r="A107" s="87"/>
      <c r="B107" s="88"/>
      <c r="C107" s="88"/>
      <c r="D107" s="88"/>
      <c r="E107" s="88"/>
      <c r="F107" s="88"/>
      <c r="G107" s="88"/>
      <c r="H107" s="88"/>
    </row>
    <row r="108">
      <c r="A108" s="87"/>
      <c r="B108" s="88"/>
      <c r="C108" s="88"/>
      <c r="D108" s="88"/>
      <c r="E108" s="88"/>
      <c r="F108" s="88"/>
      <c r="G108" s="88"/>
      <c r="H108" s="88"/>
    </row>
    <row r="109">
      <c r="A109" s="87" t="str">
        <f>A53</f>
        <v/>
      </c>
      <c r="B109" s="88"/>
      <c r="C109" s="88"/>
      <c r="D109" s="88"/>
      <c r="E109" s="88"/>
      <c r="F109" s="88"/>
      <c r="G109" s="88"/>
      <c r="H109" s="88"/>
    </row>
    <row r="110">
      <c r="A110" s="87"/>
      <c r="B110" s="88"/>
      <c r="C110" s="88"/>
      <c r="D110" s="88"/>
      <c r="E110" s="88"/>
      <c r="F110" s="88"/>
      <c r="G110" s="88"/>
      <c r="H110" s="88"/>
    </row>
    <row r="111">
      <c r="A111" s="87"/>
      <c r="B111" s="88"/>
      <c r="C111" s="88"/>
      <c r="D111" s="88"/>
      <c r="E111" s="88"/>
      <c r="F111" s="88"/>
      <c r="G111" s="88"/>
      <c r="H111" s="88"/>
    </row>
    <row r="112">
      <c r="A112" s="87" t="str">
        <f>A54</f>
        <v>Groundnut</v>
      </c>
      <c r="B112" s="88"/>
      <c r="C112" s="88"/>
      <c r="D112" s="88"/>
      <c r="E112" s="88"/>
      <c r="F112" s="88"/>
      <c r="G112" s="88"/>
      <c r="H112" s="88"/>
    </row>
    <row r="113">
      <c r="A113" s="87"/>
      <c r="B113" s="88"/>
      <c r="C113" s="88"/>
      <c r="D113" s="88"/>
      <c r="E113" s="88"/>
      <c r="F113" s="88"/>
      <c r="G113" s="88"/>
      <c r="H113" s="88"/>
    </row>
    <row r="114">
      <c r="A114" s="87"/>
      <c r="B114" s="88"/>
      <c r="C114" s="88"/>
      <c r="D114" s="88"/>
      <c r="E114" s="88"/>
      <c r="F114" s="88"/>
      <c r="G114" s="88"/>
      <c r="H114" s="88"/>
    </row>
    <row r="115">
      <c r="A115" s="87" t="str">
        <f>A55</f>
        <v/>
      </c>
      <c r="B115" s="88"/>
      <c r="C115" s="88"/>
      <c r="D115" s="88"/>
      <c r="E115" s="88"/>
      <c r="F115" s="88"/>
      <c r="G115" s="88"/>
      <c r="H115" s="88"/>
    </row>
    <row r="116">
      <c r="A116" s="87"/>
      <c r="B116" s="88"/>
      <c r="C116" s="88"/>
      <c r="D116" s="88"/>
      <c r="E116" s="88"/>
      <c r="F116" s="88"/>
      <c r="G116" s="88"/>
      <c r="H116" s="88"/>
    </row>
    <row r="117">
      <c r="A117" s="87"/>
      <c r="B117" s="88"/>
      <c r="C117" s="88"/>
      <c r="D117" s="88"/>
      <c r="E117" s="88"/>
      <c r="F117" s="88"/>
      <c r="G117" s="88"/>
      <c r="H117" s="88"/>
    </row>
    <row r="118">
      <c r="A118" s="87" t="str">
        <f>A56</f>
        <v/>
      </c>
      <c r="B118" s="88"/>
      <c r="C118" s="88"/>
      <c r="D118" s="88"/>
      <c r="E118" s="88"/>
      <c r="F118" s="88"/>
      <c r="G118" s="88"/>
      <c r="H118" s="88"/>
    </row>
    <row r="119">
      <c r="A119" s="93"/>
      <c r="B119" s="102"/>
      <c r="C119" s="102"/>
      <c r="D119" s="102"/>
      <c r="E119" s="102"/>
      <c r="F119" s="102"/>
      <c r="G119" s="102"/>
      <c r="H119" s="102"/>
    </row>
    <row r="120">
      <c r="A120" s="93"/>
      <c r="B120" s="102"/>
      <c r="C120" s="102"/>
      <c r="D120" s="102"/>
      <c r="E120" s="102"/>
      <c r="F120" s="102"/>
      <c r="G120" s="102"/>
      <c r="H120" s="102"/>
    </row>
    <row r="121">
      <c r="A121" s="93" t="s">
        <v>649</v>
      </c>
      <c r="B121">
        <v>30.0</v>
      </c>
    </row>
    <row r="128">
      <c r="A128" s="25" t="s">
        <v>650</v>
      </c>
    </row>
    <row r="129">
      <c r="A129" s="45"/>
      <c r="B129" s="45"/>
      <c r="C129" s="45"/>
      <c r="D129" s="45"/>
      <c r="E129" s="45"/>
      <c r="F129" s="45"/>
      <c r="G129" s="45"/>
      <c r="H129" s="45"/>
    </row>
    <row r="130">
      <c r="A130" s="362"/>
      <c r="B130" s="362"/>
      <c r="C130" s="362"/>
      <c r="D130" s="363">
        <v>1.0</v>
      </c>
      <c r="E130" s="364" t="str">
        <f t="shared" ref="E130:J130" si="24">(D130*5%)+D130</f>
        <v>105.00%</v>
      </c>
      <c r="F130" s="364" t="str">
        <f t="shared" si="24"/>
        <v>110.25%</v>
      </c>
      <c r="G130" s="364" t="str">
        <f t="shared" si="24"/>
        <v>115.76%</v>
      </c>
      <c r="H130" s="364" t="str">
        <f t="shared" si="24"/>
        <v>121.55%</v>
      </c>
      <c r="I130" s="364" t="str">
        <f t="shared" si="24"/>
        <v>127.63%</v>
      </c>
      <c r="J130" s="364" t="str">
        <f t="shared" si="24"/>
        <v>134.01%</v>
      </c>
    </row>
    <row r="131">
      <c r="A131" s="93"/>
      <c r="B131" s="93"/>
      <c r="C131" s="93"/>
      <c r="D131" s="93"/>
      <c r="E131" s="93"/>
      <c r="F131" s="93"/>
      <c r="G131" s="93"/>
      <c r="H131" s="93"/>
      <c r="I131" s="93"/>
      <c r="J131" s="93"/>
    </row>
    <row r="132">
      <c r="A132" s="197" t="s">
        <v>156</v>
      </c>
      <c r="B132" s="197" t="s">
        <v>206</v>
      </c>
      <c r="C132" s="197" t="s">
        <v>220</v>
      </c>
      <c r="D132" s="198" t="s">
        <v>137</v>
      </c>
      <c r="E132" s="198" t="s">
        <v>138</v>
      </c>
      <c r="F132" s="198" t="s">
        <v>139</v>
      </c>
      <c r="G132" s="198" t="s">
        <v>140</v>
      </c>
      <c r="H132" s="198" t="s">
        <v>141</v>
      </c>
      <c r="I132" s="198" t="s">
        <v>142</v>
      </c>
      <c r="J132" s="198" t="s">
        <v>143</v>
      </c>
    </row>
    <row r="133">
      <c r="A133" s="87"/>
      <c r="B133" s="87"/>
      <c r="C133" s="87"/>
      <c r="D133" s="87"/>
      <c r="E133" s="87"/>
      <c r="F133" s="87"/>
      <c r="G133" s="87"/>
      <c r="H133" s="87"/>
      <c r="I133" s="87"/>
      <c r="J133" s="87"/>
    </row>
    <row r="134">
      <c r="A134" s="90" t="s">
        <v>448</v>
      </c>
      <c r="B134" s="90"/>
      <c r="C134" s="90"/>
      <c r="D134" s="92"/>
      <c r="E134" s="92"/>
      <c r="F134" s="92"/>
      <c r="G134" s="92"/>
      <c r="H134" s="92"/>
      <c r="I134" s="87"/>
      <c r="J134" s="87"/>
    </row>
    <row r="135">
      <c r="A135" s="90"/>
      <c r="B135" s="90"/>
      <c r="C135" s="90"/>
      <c r="D135" s="87"/>
      <c r="E135" s="87"/>
      <c r="F135" s="87"/>
      <c r="G135" s="87"/>
      <c r="H135" s="87"/>
      <c r="I135" s="87"/>
      <c r="J135" s="87"/>
      <c r="L135">
        <v>30.0</v>
      </c>
      <c r="M135">
        <v>2250.0</v>
      </c>
    </row>
    <row r="136">
      <c r="A136" s="87" t="str">
        <f t="shared" ref="A136:A138" si="25">+A58</f>
        <v>Soybean</v>
      </c>
      <c r="B136" s="87" t="s">
        <v>651</v>
      </c>
      <c r="C136" s="87"/>
      <c r="D136" s="373" t="str">
        <f>(((B58*100)*(1-'5.Closing Stock &amp; W Capital'!$D$17))/$B$121)*$C$136*D130</f>
        <v>  -   </v>
      </c>
      <c r="E136" s="373" t="str">
        <f>(((C58*100)*(1-'5.Closing Stock &amp; W Capital'!$D$17))/$B$121)*$C$136*E130</f>
        <v>  -   </v>
      </c>
      <c r="F136" s="373" t="str">
        <f>(((D58*100)*(1-'5.Closing Stock &amp; W Capital'!$D$17))/$B$121)*$C$136*F130</f>
        <v>  -   </v>
      </c>
      <c r="G136" s="373" t="str">
        <f>(((E58*100)*(1-'5.Closing Stock &amp; W Capital'!$D$17))/$B$121)*$C$136*G130</f>
        <v>  -   </v>
      </c>
      <c r="H136" s="373" t="str">
        <f>(((F58*100)*(1-'5.Closing Stock &amp; W Capital'!$D$17))/$B$121)*$C$136*H130</f>
        <v>  -   </v>
      </c>
      <c r="I136" s="373" t="str">
        <f>(((G58*100)*(1-'5.Closing Stock &amp; W Capital'!$D$17))/$B$121)*$C$136*I130</f>
        <v>  -   </v>
      </c>
      <c r="J136" s="373" t="str">
        <f>(((H58*100)*(1-'5.Closing Stock &amp; W Capital'!$D$17))/$B$121)*$C$136*J130</f>
        <v>  -   </v>
      </c>
      <c r="L136">
        <v>100.0</v>
      </c>
      <c r="M136" t="str">
        <f>+L136*M135/L135</f>
        <v>7500</v>
      </c>
      <c r="N136" t="str">
        <f>10*M136</f>
        <v>75000</v>
      </c>
    </row>
    <row r="137">
      <c r="A137" s="87" t="str">
        <f t="shared" si="25"/>
        <v>Red Gram/Tur</v>
      </c>
      <c r="B137" s="87" t="s">
        <v>651</v>
      </c>
      <c r="C137" s="87">
        <v>2500.0</v>
      </c>
      <c r="D137" s="373" t="str">
        <f>(((B59*100)*(1-'5.Closing Stock &amp; W Capital'!$D$17))/B121)*$C$137*D130</f>
        <v>  10,479,336 </v>
      </c>
      <c r="E137" s="373" t="str">
        <f>((((C59*100)*(1-'5.Closing Stock &amp; W Capital'!$D$17))+((C59*100)*'5.Closing Stock &amp; W Capital'!$D$17))/$B$121)*$C$137*E130</f>
        <v>  12,350,646 </v>
      </c>
      <c r="F137" s="373" t="str">
        <f>((((D59*100)*(1-'5.Closing Stock &amp; W Capital'!$D$17))+((C59*100)*'5.Closing Stock &amp; W Capital'!$D$17))/$B$121)*$C$137*F130</f>
        <v>  14,123,525 </v>
      </c>
      <c r="G137" s="373" t="str">
        <f>((((E59*100)*(1-'5.Closing Stock &amp; W Capital'!$D$17))+((D59*100)*'5.Closing Stock &amp; W Capital'!$D$17))/$B$121)*$C$137*G130</f>
        <v>  16,067,573 </v>
      </c>
      <c r="H137" s="373" t="str">
        <f>((((F59*100)*(1-'5.Closing Stock &amp; W Capital'!$D$17))+((E59*100)*'5.Closing Stock &amp; W Capital'!$D$17))/$B$121)*$C$137*H130</f>
        <v>  18,170,717 </v>
      </c>
      <c r="I137" s="373" t="str">
        <f>((((G59*100)*(1-'5.Closing Stock &amp; W Capital'!$D$17))+((F59*100)*'5.Closing Stock &amp; W Capital'!$D$17))/$B$121)*$C$137*I130</f>
        <v>  20,444,006 </v>
      </c>
      <c r="J137" s="373" t="str">
        <f>((((H59*100)*(1-'5.Closing Stock &amp; W Capital'!$D$17))+((G59*100)*'5.Closing Stock &amp; W Capital'!$D$17))/$B$121)*$C$137*J130</f>
        <v>  22,899,197 </v>
      </c>
    </row>
    <row r="138">
      <c r="A138" s="87" t="str">
        <f t="shared" si="25"/>
        <v>Bengal Gram/Channa</v>
      </c>
      <c r="B138" s="87" t="s">
        <v>651</v>
      </c>
      <c r="C138" s="87">
        <v>2250.0</v>
      </c>
      <c r="D138" s="373" t="str">
        <f>(((B60*100)*(1-'5.Closing Stock &amp; W Capital'!$D$17))/$B$121)*$C$138*D130</f>
        <v>  26,722,307 </v>
      </c>
      <c r="E138" s="373" t="str">
        <f>(((C60*100)*(1-'5.Closing Stock &amp; W Capital'!$D$17))/$B$121)*$C$138*E130</f>
        <v>  30,864,264 </v>
      </c>
      <c r="F138" s="373" t="str">
        <f>(((D60*100)*(1-'5.Closing Stock &amp; W Capital'!$D$17))/$B$121)*$C$138*F130</f>
        <v>  35,353,612 </v>
      </c>
      <c r="G138" s="373" t="str">
        <f>(((E60*100)*(1-'5.Closing Stock &amp; W Capital'!$D$17))/$B$121)*$C$138*G130</f>
        <v>  40,214,734 </v>
      </c>
      <c r="H138" s="373" t="str">
        <f>(((F60*100)*(1-'5.Closing Stock &amp; W Capital'!$D$17))/$B$121)*$C$138*H130</f>
        <v>  45,473,583 </v>
      </c>
      <c r="I138" s="373" t="str">
        <f>(((G60*100)*(1-'5.Closing Stock &amp; W Capital'!$D$17))/$B$121)*$C$138*I130</f>
        <v>  51,157,781 </v>
      </c>
      <c r="J138" s="373" t="str">
        <f>(((H60*100)*(1-'5.Closing Stock &amp; W Capital'!$D$17))/$B$121)*$C$138*J130</f>
        <v>  57,296,715 </v>
      </c>
    </row>
    <row r="139">
      <c r="A139" s="87" t="s">
        <v>426</v>
      </c>
      <c r="B139" s="87">
        <v>0.0</v>
      </c>
      <c r="C139" s="87">
        <v>0.0</v>
      </c>
      <c r="D139" s="373" t="str">
        <f>(((B67*100)*(1-'5.Closing Stock &amp; W Capital'!D17))/B121)*$C$139*D130</f>
        <v>  -   </v>
      </c>
      <c r="E139" s="373" t="str">
        <f>((((C67*100)*(1-'5.Closing Stock &amp; W Capital'!$D$17))+((B67*100)*'5.Closing Stock &amp; W Capital'!$D$17))/$B$121)*$C$139*E130</f>
        <v>  -   </v>
      </c>
      <c r="F139" s="373" t="str">
        <f>((((D67*100)*(1-'5.Closing Stock &amp; W Capital'!$D$17))+((C67*100)*'5.Closing Stock &amp; W Capital'!$D$17))/$B$121)*$C$139*F130</f>
        <v>  -   </v>
      </c>
      <c r="G139" s="373" t="str">
        <f>((((E67*100)*(1-'5.Closing Stock &amp; W Capital'!$D$17))+((D67*100)*'5.Closing Stock &amp; W Capital'!$D$17))/$B$121)*$C$139*G130</f>
        <v>  -   </v>
      </c>
      <c r="H139" s="373" t="str">
        <f>((((F67*100)*(1-'5.Closing Stock &amp; W Capital'!$D$17))+((E67*100)*'5.Closing Stock &amp; W Capital'!$D$17))/$B$121)*$C$139*H130</f>
        <v>  -   </v>
      </c>
      <c r="I139" s="373" t="str">
        <f>((((G67*100)*(1-'5.Closing Stock &amp; W Capital'!$D$17))+((F67*100)*'5.Closing Stock &amp; W Capital'!$D$17))/$B$121)*$C$139*I130</f>
        <v>  -   </v>
      </c>
      <c r="J139" s="373" t="str">
        <f>((((H67*100)*(1-'5.Closing Stock &amp; W Capital'!$D$17))+((G67*100)*'5.Closing Stock &amp; W Capital'!$D$17))/$B$121)*$C$139*J130</f>
        <v>  -   </v>
      </c>
    </row>
    <row r="140">
      <c r="A140" s="87"/>
      <c r="B140" s="87"/>
      <c r="C140" s="87"/>
      <c r="D140" s="373"/>
      <c r="E140" s="373"/>
      <c r="F140" s="373"/>
      <c r="G140" s="373"/>
      <c r="H140" s="373"/>
      <c r="I140" s="373"/>
      <c r="J140" s="373"/>
    </row>
    <row r="141">
      <c r="A141" s="90" t="s">
        <v>647</v>
      </c>
      <c r="B141" s="90" t="s">
        <v>652</v>
      </c>
      <c r="C141" s="87">
        <v>15.0</v>
      </c>
      <c r="D141" s="373" t="str">
        <f t="shared" ref="D141:J141" si="26">((B61+B92+B75+B67)*100)*$C$141*D130</f>
        <v>  922,289 </v>
      </c>
      <c r="E141" s="373" t="str">
        <f t="shared" si="26"/>
        <v>  1,065,243 </v>
      </c>
      <c r="F141" s="373" t="str">
        <f t="shared" si="26"/>
        <v>  1,220,188 </v>
      </c>
      <c r="G141" s="373" t="str">
        <f t="shared" si="26"/>
        <v>  1,387,963 </v>
      </c>
      <c r="H141" s="373" t="str">
        <f t="shared" si="26"/>
        <v>  1,569,466 </v>
      </c>
      <c r="I141" s="373" t="str">
        <f t="shared" si="26"/>
        <v>  1,765,650 </v>
      </c>
      <c r="J141" s="373" t="str">
        <f t="shared" si="26"/>
        <v>  1,977,528 </v>
      </c>
    </row>
    <row r="142">
      <c r="A142" s="87"/>
      <c r="B142" s="87"/>
      <c r="C142" s="87"/>
      <c r="D142" s="373"/>
      <c r="E142" s="373"/>
      <c r="F142" s="373"/>
      <c r="G142" s="373"/>
      <c r="H142" s="373"/>
      <c r="I142" s="373"/>
      <c r="J142" s="374"/>
      <c r="K142" s="34"/>
    </row>
    <row r="143">
      <c r="A143" s="90" t="s">
        <v>621</v>
      </c>
      <c r="B143" s="90" t="s">
        <v>652</v>
      </c>
      <c r="C143" s="87">
        <v>9.0</v>
      </c>
      <c r="D143" s="373" t="str">
        <f t="shared" ref="D143:J143" si="27">(B35*100)*$C$143*D130</f>
        <v>  5,533,731 </v>
      </c>
      <c r="E143" s="373" t="str">
        <f t="shared" si="27"/>
        <v>  6,391,459 </v>
      </c>
      <c r="F143" s="373" t="str">
        <f t="shared" si="27"/>
        <v>  7,321,126 </v>
      </c>
      <c r="G143" s="373" t="str">
        <f t="shared" si="27"/>
        <v>  8,327,781 </v>
      </c>
      <c r="H143" s="373" t="str">
        <f t="shared" si="27"/>
        <v>  9,416,798 </v>
      </c>
      <c r="I143" s="373" t="str">
        <f t="shared" si="27"/>
        <v>  10,593,898 </v>
      </c>
      <c r="J143" s="373" t="str">
        <f t="shared" si="27"/>
        <v>  11,865,166 </v>
      </c>
    </row>
    <row r="144">
      <c r="A144" s="87"/>
      <c r="B144" s="87"/>
      <c r="C144" s="87"/>
      <c r="D144" s="373"/>
      <c r="E144" s="373"/>
      <c r="F144" s="373"/>
      <c r="G144" s="373"/>
      <c r="H144" s="373"/>
      <c r="I144" s="373"/>
      <c r="J144" s="373"/>
    </row>
    <row r="145">
      <c r="A145" s="90" t="s">
        <v>448</v>
      </c>
      <c r="B145" s="90"/>
      <c r="C145" s="90"/>
      <c r="D145" s="375" t="str">
        <f t="shared" ref="D145:J145" si="28">SUM(D136:D143)</f>
        <v>  43,657,662 </v>
      </c>
      <c r="E145" s="375" t="str">
        <f t="shared" si="28"/>
        <v>  50,671,613 </v>
      </c>
      <c r="F145" s="375" t="str">
        <f t="shared" si="28"/>
        <v>  58,018,451 </v>
      </c>
      <c r="G145" s="375" t="str">
        <f t="shared" si="28"/>
        <v>  65,998,051 </v>
      </c>
      <c r="H145" s="375" t="str">
        <f t="shared" si="28"/>
        <v>  74,630,565 </v>
      </c>
      <c r="I145" s="375" t="str">
        <f t="shared" si="28"/>
        <v>  83,961,335 </v>
      </c>
      <c r="J145" s="375" t="str">
        <f t="shared" si="28"/>
        <v>  94,038,606 </v>
      </c>
    </row>
    <row r="146">
      <c r="A146" s="87"/>
      <c r="B146" s="87"/>
      <c r="C146" s="87"/>
      <c r="D146" s="88"/>
      <c r="E146" s="88"/>
      <c r="F146" s="88"/>
      <c r="G146" s="88"/>
      <c r="H146" s="88"/>
      <c r="I146" s="88"/>
      <c r="J146" s="88"/>
    </row>
    <row r="147">
      <c r="A147" s="90" t="s">
        <v>622</v>
      </c>
      <c r="B147" s="90"/>
      <c r="C147" s="90"/>
      <c r="D147" s="88"/>
      <c r="E147" s="88"/>
      <c r="F147" s="88"/>
      <c r="G147" s="88"/>
      <c r="H147" s="88"/>
      <c r="I147" s="88"/>
      <c r="J147" s="88"/>
    </row>
    <row r="148">
      <c r="A148" s="90" t="s">
        <v>198</v>
      </c>
      <c r="B148" s="90"/>
      <c r="C148" s="87"/>
      <c r="D148" s="88"/>
      <c r="E148" s="88"/>
      <c r="F148" s="88"/>
      <c r="G148" s="88"/>
      <c r="H148" s="88"/>
      <c r="I148" s="88"/>
      <c r="J148" s="88"/>
    </row>
    <row r="149">
      <c r="A149" s="87" t="str">
        <f t="shared" ref="A149:A151" si="30">+A136</f>
        <v>Soybean</v>
      </c>
      <c r="B149" s="376" t="s">
        <v>620</v>
      </c>
      <c r="C149" s="373"/>
      <c r="D149" s="373" t="str">
        <f t="shared" ref="D149:J149" si="29">(B47)*$C$149*D130</f>
        <v>  -   </v>
      </c>
      <c r="E149" s="373" t="str">
        <f t="shared" si="29"/>
        <v>  -   </v>
      </c>
      <c r="F149" s="373" t="str">
        <f t="shared" si="29"/>
        <v>  -   </v>
      </c>
      <c r="G149" s="373" t="str">
        <f t="shared" si="29"/>
        <v>  -   </v>
      </c>
      <c r="H149" s="373" t="str">
        <f t="shared" si="29"/>
        <v>  -   </v>
      </c>
      <c r="I149" s="373" t="str">
        <f t="shared" si="29"/>
        <v>  -   </v>
      </c>
      <c r="J149" s="373" t="str">
        <f t="shared" si="29"/>
        <v>  -   </v>
      </c>
    </row>
    <row r="150">
      <c r="A150" s="87" t="str">
        <f t="shared" si="30"/>
        <v>Red Gram/Tur</v>
      </c>
      <c r="B150" s="376" t="s">
        <v>620</v>
      </c>
      <c r="C150" s="373">
        <v>6000.0</v>
      </c>
      <c r="D150" s="373" t="str">
        <f t="shared" ref="D150:J150" si="31">(B38)*$C$150*D130</f>
        <v>  9,623,880 </v>
      </c>
      <c r="E150" s="373" t="str">
        <f t="shared" si="31"/>
        <v>  11,115,581 </v>
      </c>
      <c r="F150" s="373" t="str">
        <f t="shared" si="31"/>
        <v>  12,732,393 </v>
      </c>
      <c r="G150" s="373" t="str">
        <f t="shared" si="31"/>
        <v>  14,483,097 </v>
      </c>
      <c r="H150" s="373" t="str">
        <f t="shared" si="31"/>
        <v>  16,377,041 </v>
      </c>
      <c r="I150" s="373" t="str">
        <f t="shared" si="31"/>
        <v>  18,424,171 </v>
      </c>
      <c r="J150" s="373" t="str">
        <f t="shared" si="31"/>
        <v>  20,635,071 </v>
      </c>
      <c r="L150" s="377" t="str">
        <f>65*30</f>
        <v>  1,950 </v>
      </c>
    </row>
    <row r="151">
      <c r="A151" s="87" t="str">
        <f t="shared" si="30"/>
        <v>Bengal Gram/Channa</v>
      </c>
      <c r="B151" s="376" t="s">
        <v>620</v>
      </c>
      <c r="C151" s="373">
        <v>5600.0</v>
      </c>
      <c r="D151" s="378" t="str">
        <f t="shared" ref="D151:J151" si="32">(B47)*$C$151*D130</f>
        <v>  25,449,816 </v>
      </c>
      <c r="E151" s="378" t="str">
        <f t="shared" si="32"/>
        <v>  29,394,537 </v>
      </c>
      <c r="F151" s="378" t="str">
        <f t="shared" si="32"/>
        <v>  33,670,107 </v>
      </c>
      <c r="G151" s="378" t="str">
        <f t="shared" si="32"/>
        <v>  38,299,746 </v>
      </c>
      <c r="H151" s="378" t="str">
        <f t="shared" si="32"/>
        <v>  43,308,175 </v>
      </c>
      <c r="I151" s="378" t="str">
        <f t="shared" si="32"/>
        <v>  48,721,696 </v>
      </c>
      <c r="J151" s="378" t="str">
        <f t="shared" si="32"/>
        <v>  54,568,300 </v>
      </c>
      <c r="K151" s="379"/>
    </row>
    <row r="152">
      <c r="A152" s="87" t="s">
        <v>426</v>
      </c>
      <c r="B152" s="376" t="s">
        <v>620</v>
      </c>
      <c r="C152" s="373">
        <v>0.0</v>
      </c>
      <c r="D152" s="373" t="str">
        <f t="shared" ref="D152:J152" si="33">(B40)*$C$152*D130</f>
        <v>  -   </v>
      </c>
      <c r="E152" s="373" t="str">
        <f t="shared" si="33"/>
        <v>  -   </v>
      </c>
      <c r="F152" s="373" t="str">
        <f t="shared" si="33"/>
        <v>  -   </v>
      </c>
      <c r="G152" s="373" t="str">
        <f t="shared" si="33"/>
        <v>  -   </v>
      </c>
      <c r="H152" s="373" t="str">
        <f t="shared" si="33"/>
        <v>  -   </v>
      </c>
      <c r="I152" s="373" t="str">
        <f t="shared" si="33"/>
        <v>  -   </v>
      </c>
      <c r="J152" s="373" t="str">
        <f t="shared" si="33"/>
        <v>  -   </v>
      </c>
    </row>
    <row r="153">
      <c r="A153" s="87" t="s">
        <v>653</v>
      </c>
      <c r="B153" s="376">
        <v>15.0</v>
      </c>
      <c r="C153" s="376">
        <v>140.0</v>
      </c>
      <c r="D153" s="373" t="str">
        <f t="shared" ref="D153:J153" si="34">(B32/10)*$B$153*$C$153*D130</f>
        <v>  2,582,408 </v>
      </c>
      <c r="E153" s="373" t="str">
        <f t="shared" si="34"/>
        <v>  2,982,681 </v>
      </c>
      <c r="F153" s="373" t="str">
        <f t="shared" si="34"/>
        <v>  3,416,526 </v>
      </c>
      <c r="G153" s="373" t="str">
        <f t="shared" si="34"/>
        <v>  3,886,298 </v>
      </c>
      <c r="H153" s="373" t="str">
        <f t="shared" si="34"/>
        <v>  4,394,506 </v>
      </c>
      <c r="I153" s="373" t="str">
        <f t="shared" si="34"/>
        <v>  4,943,819 </v>
      </c>
      <c r="J153" s="373" t="str">
        <f t="shared" si="34"/>
        <v>  5,537,077 </v>
      </c>
    </row>
    <row r="154">
      <c r="A154" s="87" t="s">
        <v>654</v>
      </c>
      <c r="B154" s="376">
        <v>25.0</v>
      </c>
      <c r="C154" s="376">
        <v>300.0</v>
      </c>
      <c r="D154" s="373" t="str">
        <f t="shared" ref="D154:J154" si="35">B12*$B$154*$C$154*D130</f>
        <v>  1,152,861 </v>
      </c>
      <c r="E154" s="373" t="str">
        <f t="shared" si="35"/>
        <v>  1,331,554 </v>
      </c>
      <c r="F154" s="373" t="str">
        <f t="shared" si="35"/>
        <v>  1,525,235 </v>
      </c>
      <c r="G154" s="373" t="str">
        <f t="shared" si="35"/>
        <v>  1,734,954 </v>
      </c>
      <c r="H154" s="373" t="str">
        <f t="shared" si="35"/>
        <v>  1,961,833 </v>
      </c>
      <c r="I154" s="373" t="str">
        <f t="shared" si="35"/>
        <v>  2,207,062 </v>
      </c>
      <c r="J154" s="373" t="str">
        <f t="shared" si="35"/>
        <v>  2,471,910 </v>
      </c>
    </row>
    <row r="155">
      <c r="A155" s="87" t="s">
        <v>624</v>
      </c>
      <c r="B155" s="376" t="str">
        <f>'2.Capex Details'!H47*0.746*8</f>
        <v>131.296</v>
      </c>
      <c r="C155" s="376">
        <v>12.0</v>
      </c>
      <c r="D155" s="373" t="str">
        <f t="shared" ref="D155:J155" si="36">$B$155*$C$155*B12*D130</f>
        <v>  242,186 </v>
      </c>
      <c r="E155" s="373" t="str">
        <f t="shared" si="36"/>
        <v>  279,724 </v>
      </c>
      <c r="F155" s="373" t="str">
        <f t="shared" si="36"/>
        <v>  320,412 </v>
      </c>
      <c r="G155" s="373" t="str">
        <f t="shared" si="36"/>
        <v>  364,468 </v>
      </c>
      <c r="H155" s="373" t="str">
        <f t="shared" si="36"/>
        <v>  412,129 </v>
      </c>
      <c r="I155" s="373" t="str">
        <f t="shared" si="36"/>
        <v>  463,645 </v>
      </c>
      <c r="J155" s="373" t="str">
        <f t="shared" si="36"/>
        <v>  519,283 </v>
      </c>
    </row>
    <row r="156">
      <c r="A156" s="87" t="s">
        <v>655</v>
      </c>
      <c r="B156" s="376"/>
      <c r="C156" s="376">
        <v>20.0</v>
      </c>
      <c r="D156" s="373" t="str">
        <f t="shared" ref="D156:J156" si="37">((B35*100)/70)*$C$156*D130</f>
        <v>  175,674 </v>
      </c>
      <c r="E156" s="373" t="str">
        <f t="shared" si="37"/>
        <v>  202,903 </v>
      </c>
      <c r="F156" s="373" t="str">
        <f t="shared" si="37"/>
        <v>  232,417 </v>
      </c>
      <c r="G156" s="373" t="str">
        <f t="shared" si="37"/>
        <v>  264,374 </v>
      </c>
      <c r="H156" s="373" t="str">
        <f t="shared" si="37"/>
        <v>  298,946 </v>
      </c>
      <c r="I156" s="373" t="str">
        <f t="shared" si="37"/>
        <v>  336,314 </v>
      </c>
      <c r="J156" s="373" t="str">
        <f t="shared" si="37"/>
        <v>  376,672 </v>
      </c>
    </row>
    <row r="157">
      <c r="A157" s="100" t="s">
        <v>656</v>
      </c>
      <c r="B157" s="380"/>
      <c r="C157" s="380">
        <v>30.0</v>
      </c>
      <c r="D157" s="373" t="str">
        <f t="shared" ref="D157:J157" si="38">(((B75+B66+B92+B60)*100)/70)*$C$157*D130</f>
        <v>  155,815 </v>
      </c>
      <c r="E157" s="373" t="str">
        <f t="shared" si="38"/>
        <v>  179,967 </v>
      </c>
      <c r="F157" s="373" t="str">
        <f t="shared" si="38"/>
        <v>  206,144 </v>
      </c>
      <c r="G157" s="373" t="str">
        <f t="shared" si="38"/>
        <v>  234,488 </v>
      </c>
      <c r="H157" s="373" t="str">
        <f t="shared" si="38"/>
        <v>  265,152 </v>
      </c>
      <c r="I157" s="373" t="str">
        <f t="shared" si="38"/>
        <v>  298,296 </v>
      </c>
      <c r="J157" s="373" t="str">
        <f t="shared" si="38"/>
        <v>  334,092 </v>
      </c>
    </row>
    <row r="158">
      <c r="A158" s="87" t="s">
        <v>657</v>
      </c>
      <c r="B158" s="376"/>
      <c r="C158" s="376">
        <v>25.0</v>
      </c>
      <c r="D158" s="373" t="str">
        <f t="shared" ref="D158:J158" si="39">(((B75+B66+B92+B60)*100)/70)*$C$158*D130</f>
        <v>  129,846 </v>
      </c>
      <c r="E158" s="373" t="str">
        <f t="shared" si="39"/>
        <v>  149,972 </v>
      </c>
      <c r="F158" s="373" t="str">
        <f t="shared" si="39"/>
        <v>  171,786 </v>
      </c>
      <c r="G158" s="373" t="str">
        <f t="shared" si="39"/>
        <v>  195,407 </v>
      </c>
      <c r="H158" s="373" t="str">
        <f t="shared" si="39"/>
        <v>  220,960 </v>
      </c>
      <c r="I158" s="373" t="str">
        <f t="shared" si="39"/>
        <v>  248,580 </v>
      </c>
      <c r="J158" s="373" t="str">
        <f t="shared" si="39"/>
        <v>  278,410 </v>
      </c>
    </row>
    <row r="159">
      <c r="A159" s="42" t="s">
        <v>631</v>
      </c>
      <c r="B159" s="381"/>
      <c r="C159" s="381"/>
      <c r="D159" s="373">
        <v>100000.0</v>
      </c>
      <c r="E159" s="373" t="str">
        <f t="shared" ref="E159:J159" si="40">+D159*1.05</f>
        <v>  105,000 </v>
      </c>
      <c r="F159" s="373" t="str">
        <f t="shared" si="40"/>
        <v>  110,250 </v>
      </c>
      <c r="G159" s="373" t="str">
        <f t="shared" si="40"/>
        <v>  115,763 </v>
      </c>
      <c r="H159" s="373" t="str">
        <f t="shared" si="40"/>
        <v>  121,551 </v>
      </c>
      <c r="I159" s="373" t="str">
        <f t="shared" si="40"/>
        <v>  127,628 </v>
      </c>
      <c r="J159" s="373" t="str">
        <f t="shared" si="40"/>
        <v>  134,010 </v>
      </c>
    </row>
    <row r="160">
      <c r="A160" s="42"/>
      <c r="B160" s="381"/>
      <c r="C160" s="381"/>
      <c r="D160" s="381"/>
      <c r="E160" s="381"/>
      <c r="F160" s="381"/>
      <c r="G160" s="381"/>
      <c r="H160" s="381"/>
      <c r="I160" s="381"/>
      <c r="J160" s="381"/>
    </row>
    <row r="161">
      <c r="A161" s="42"/>
      <c r="B161" s="381"/>
      <c r="C161" s="381"/>
      <c r="D161" s="381"/>
      <c r="E161" s="381"/>
      <c r="F161" s="381"/>
      <c r="G161" s="381"/>
      <c r="H161" s="381"/>
      <c r="I161" s="381"/>
      <c r="J161" s="381"/>
    </row>
    <row r="162">
      <c r="A162" s="42"/>
      <c r="B162" s="381"/>
      <c r="C162" s="381"/>
      <c r="D162" s="381"/>
      <c r="E162" s="381"/>
      <c r="F162" s="381"/>
      <c r="G162" s="381"/>
      <c r="H162" s="381"/>
      <c r="I162" s="381"/>
      <c r="J162" s="381"/>
    </row>
    <row r="163">
      <c r="A163" s="88" t="s">
        <v>627</v>
      </c>
      <c r="B163" s="373"/>
      <c r="C163" s="373"/>
      <c r="D163" s="373">
        <v>0.0</v>
      </c>
      <c r="E163" s="373" t="str">
        <f>'5.Closing Stock &amp; W Capital'!F8</f>
        <v>  792,250 </v>
      </c>
      <c r="F163" s="373" t="str">
        <f>'5.Closing Stock &amp; W Capital'!G8</f>
        <v>  914,838 </v>
      </c>
      <c r="G163" s="373" t="str">
        <f>'5.Closing Stock &amp; W Capital'!H8</f>
        <v>  1,047,705 </v>
      </c>
      <c r="H163" s="373" t="str">
        <f>'5.Closing Stock &amp; W Capital'!I8</f>
        <v>  1,191,572 </v>
      </c>
      <c r="I163" s="373" t="str">
        <f>'5.Closing Stock &amp; W Capital'!J8</f>
        <v>  1,347,206 </v>
      </c>
      <c r="J163" s="373" t="str">
        <f>'5.Closing Stock &amp; W Capital'!K8</f>
        <v>  1,515,424 </v>
      </c>
    </row>
    <row r="164">
      <c r="A164" s="88" t="s">
        <v>628</v>
      </c>
      <c r="B164" s="373"/>
      <c r="C164" s="373"/>
      <c r="D164" s="373" t="str">
        <f>'5.Closing Stock &amp; W Capital'!E17</f>
        <v>  792,250 </v>
      </c>
      <c r="E164" s="373" t="str">
        <f>'5.Closing Stock &amp; W Capital'!F17</f>
        <v>  914,838 </v>
      </c>
      <c r="F164" s="373" t="str">
        <f>'5.Closing Stock &amp; W Capital'!G17</f>
        <v>  1,047,705 </v>
      </c>
      <c r="G164" s="373" t="str">
        <f>'5.Closing Stock &amp; W Capital'!H17</f>
        <v>  1,191,572 </v>
      </c>
      <c r="H164" s="373" t="str">
        <f>'5.Closing Stock &amp; W Capital'!I17</f>
        <v>  1,347,206 </v>
      </c>
      <c r="I164" s="373" t="str">
        <f>'5.Closing Stock &amp; W Capital'!J17</f>
        <v>  1,515,424 </v>
      </c>
      <c r="J164" s="373" t="str">
        <f>'5.Closing Stock &amp; W Capital'!K17</f>
        <v>  1,697,096 </v>
      </c>
    </row>
    <row r="165">
      <c r="A165" s="88"/>
      <c r="B165" s="88"/>
      <c r="C165" s="88"/>
      <c r="D165" s="88"/>
      <c r="E165" s="88"/>
      <c r="F165" s="88"/>
      <c r="G165" s="88"/>
      <c r="H165" s="88"/>
      <c r="I165" s="88"/>
      <c r="J165" s="88"/>
    </row>
    <row r="166">
      <c r="A166" s="91" t="s">
        <v>456</v>
      </c>
      <c r="B166" s="88"/>
      <c r="C166" s="88"/>
      <c r="D166" s="375" t="str">
        <f t="shared" ref="D166:J166" si="41">SUM(D149:D163)-D164</f>
        <v>  38,820,236 </v>
      </c>
      <c r="E166" s="375" t="str">
        <f t="shared" si="41"/>
        <v>  45,619,332 </v>
      </c>
      <c r="F166" s="375" t="str">
        <f t="shared" si="41"/>
        <v>  52,252,401 </v>
      </c>
      <c r="G166" s="375" t="str">
        <f t="shared" si="41"/>
        <v>  59,434,729 </v>
      </c>
      <c r="H166" s="375" t="str">
        <f t="shared" si="41"/>
        <v>  67,204,658 </v>
      </c>
      <c r="I166" s="375" t="str">
        <f t="shared" si="41"/>
        <v>  75,602,994 </v>
      </c>
      <c r="J166" s="375" t="str">
        <f t="shared" si="41"/>
        <v>  84,673,152 </v>
      </c>
    </row>
    <row r="167">
      <c r="A167" s="93"/>
      <c r="B167" s="93"/>
      <c r="C167" s="93"/>
      <c r="D167" s="93"/>
      <c r="E167" s="93"/>
      <c r="F167" s="93"/>
      <c r="G167" s="93"/>
      <c r="H167" s="93"/>
      <c r="I167" s="93"/>
      <c r="J167" s="93"/>
    </row>
    <row r="168">
      <c r="A168" s="382" t="s">
        <v>457</v>
      </c>
      <c r="B168" s="382"/>
      <c r="C168" s="382"/>
      <c r="D168" s="91"/>
      <c r="E168" s="91"/>
      <c r="F168" s="91"/>
      <c r="G168" s="91"/>
      <c r="H168" s="91"/>
      <c r="I168" s="91"/>
      <c r="J168" s="91"/>
    </row>
    <row r="169">
      <c r="A169" s="87" t="s">
        <v>629</v>
      </c>
      <c r="B169" s="87">
        <v>5.0</v>
      </c>
      <c r="C169" s="88">
        <v>10000.0</v>
      </c>
      <c r="D169" s="88" t="str">
        <f t="shared" ref="D169:J169" si="42">$B$169*$C$169*12*D130</f>
        <v>  600,000 </v>
      </c>
      <c r="E169" s="88" t="str">
        <f t="shared" si="42"/>
        <v>  630,000 </v>
      </c>
      <c r="F169" s="88" t="str">
        <f t="shared" si="42"/>
        <v>  661,500 </v>
      </c>
      <c r="G169" s="88" t="str">
        <f t="shared" si="42"/>
        <v>  694,575 </v>
      </c>
      <c r="H169" s="88" t="str">
        <f t="shared" si="42"/>
        <v>  729,304 </v>
      </c>
      <c r="I169" s="88" t="str">
        <f t="shared" si="42"/>
        <v>  765,769 </v>
      </c>
      <c r="J169" s="88" t="str">
        <f t="shared" si="42"/>
        <v>  804,057 </v>
      </c>
    </row>
    <row r="170">
      <c r="A170" s="87" t="s">
        <v>630</v>
      </c>
      <c r="B170" s="87">
        <v>1.0</v>
      </c>
      <c r="C170" s="88">
        <v>8000.0</v>
      </c>
      <c r="D170" s="88" t="str">
        <f t="shared" ref="D170:J170" si="43">$B$170*$C$170*12*D130</f>
        <v>  96,000 </v>
      </c>
      <c r="E170" s="88" t="str">
        <f t="shared" si="43"/>
        <v>  100,800 </v>
      </c>
      <c r="F170" s="88" t="str">
        <f t="shared" si="43"/>
        <v>  105,840 </v>
      </c>
      <c r="G170" s="88" t="str">
        <f t="shared" si="43"/>
        <v>  111,132 </v>
      </c>
      <c r="H170" s="88" t="str">
        <f t="shared" si="43"/>
        <v>  116,689 </v>
      </c>
      <c r="I170" s="88" t="str">
        <f t="shared" si="43"/>
        <v>  122,523 </v>
      </c>
      <c r="J170" s="88" t="str">
        <f t="shared" si="43"/>
        <v>  128,649 </v>
      </c>
    </row>
    <row r="171">
      <c r="A171" s="87"/>
      <c r="B171" s="87"/>
      <c r="C171" s="88"/>
      <c r="D171" s="88"/>
      <c r="E171" s="88"/>
      <c r="F171" s="88"/>
      <c r="G171" s="88"/>
      <c r="H171" s="88"/>
      <c r="I171" s="88"/>
      <c r="J171" s="88"/>
    </row>
    <row r="172">
      <c r="A172" s="87"/>
      <c r="B172" s="87"/>
      <c r="C172" s="88"/>
      <c r="D172" s="88"/>
      <c r="E172" s="88"/>
      <c r="F172" s="88"/>
      <c r="G172" s="88"/>
      <c r="H172" s="88"/>
      <c r="I172" s="88"/>
      <c r="J172" s="88"/>
    </row>
    <row r="173">
      <c r="A173" s="87"/>
      <c r="B173" s="87"/>
      <c r="C173" s="88"/>
      <c r="D173" s="88"/>
      <c r="E173" s="88"/>
      <c r="F173" s="88"/>
      <c r="G173" s="88"/>
      <c r="H173" s="88"/>
      <c r="I173" s="88"/>
      <c r="J173" s="88"/>
    </row>
    <row r="174">
      <c r="A174" s="90" t="s">
        <v>457</v>
      </c>
      <c r="B174" s="90"/>
      <c r="C174" s="90"/>
      <c r="D174" s="375" t="str">
        <f t="shared" ref="D174:J174" si="44">SUM(D169:D173)</f>
        <v>  696,000 </v>
      </c>
      <c r="E174" s="375" t="str">
        <f t="shared" si="44"/>
        <v>  730,800 </v>
      </c>
      <c r="F174" s="375" t="str">
        <f t="shared" si="44"/>
        <v>  767,340 </v>
      </c>
      <c r="G174" s="375" t="str">
        <f t="shared" si="44"/>
        <v>  805,707 </v>
      </c>
      <c r="H174" s="375" t="str">
        <f t="shared" si="44"/>
        <v>  845,992 </v>
      </c>
      <c r="I174" s="375" t="str">
        <f t="shared" si="44"/>
        <v>  888,292 </v>
      </c>
      <c r="J174" s="375" t="str">
        <f t="shared" si="44"/>
        <v>  932,707 </v>
      </c>
    </row>
    <row r="175">
      <c r="A175" s="382" t="s">
        <v>658</v>
      </c>
      <c r="B175" s="382"/>
      <c r="C175" s="382"/>
      <c r="D175" s="375" t="str">
        <f t="shared" ref="D175:J175" si="45">D166+D174</f>
        <v>  39,516,236 </v>
      </c>
      <c r="E175" s="375" t="str">
        <f t="shared" si="45"/>
        <v>  46,350,132 </v>
      </c>
      <c r="F175" s="375" t="str">
        <f t="shared" si="45"/>
        <v>  53,019,741 </v>
      </c>
      <c r="G175" s="375" t="str">
        <f t="shared" si="45"/>
        <v>  60,240,436 </v>
      </c>
      <c r="H175" s="375" t="str">
        <f t="shared" si="45"/>
        <v>  68,050,651 </v>
      </c>
      <c r="I175" s="375" t="str">
        <f t="shared" si="45"/>
        <v>  76,491,286 </v>
      </c>
      <c r="J175" s="375" t="str">
        <f t="shared" si="45"/>
        <v>  85,605,859 </v>
      </c>
    </row>
    <row r="176">
      <c r="A176" s="87"/>
      <c r="B176" s="87"/>
      <c r="C176" s="87"/>
      <c r="D176" s="373"/>
      <c r="E176" s="373"/>
      <c r="F176" s="373"/>
      <c r="G176" s="373"/>
      <c r="H176" s="373"/>
      <c r="I176" s="373"/>
      <c r="J176" s="373"/>
    </row>
    <row r="177">
      <c r="A177" s="90" t="s">
        <v>504</v>
      </c>
      <c r="B177" s="90"/>
      <c r="C177" s="90"/>
      <c r="D177" s="375" t="str">
        <f t="shared" ref="D177:J177" si="46">D145-D175</f>
        <v>  4,141,427 </v>
      </c>
      <c r="E177" s="375" t="str">
        <f t="shared" si="46"/>
        <v>  4,321,481 </v>
      </c>
      <c r="F177" s="375" t="str">
        <f t="shared" si="46"/>
        <v>  4,998,710 </v>
      </c>
      <c r="G177" s="375" t="str">
        <f t="shared" si="46"/>
        <v>  5,757,615 </v>
      </c>
      <c r="H177" s="375" t="str">
        <f t="shared" si="46"/>
        <v>  6,579,914 </v>
      </c>
      <c r="I177" s="375" t="str">
        <f t="shared" si="46"/>
        <v>  7,470,049 </v>
      </c>
      <c r="J177" s="375" t="str">
        <f t="shared" si="46"/>
        <v>  8,432,747 </v>
      </c>
    </row>
    <row r="178">
      <c r="A178" s="94"/>
      <c r="B178" s="94"/>
      <c r="C178" s="94"/>
      <c r="D178" s="93"/>
      <c r="E178" s="93"/>
      <c r="F178" s="93"/>
      <c r="G178" s="93"/>
      <c r="H178" s="93"/>
      <c r="I178" s="93"/>
      <c r="J178" s="93"/>
    </row>
    <row r="179">
      <c r="A179" s="93"/>
      <c r="B179" s="93"/>
      <c r="C179" s="93"/>
      <c r="D179" s="93"/>
      <c r="E179" s="93"/>
      <c r="F179" s="93"/>
      <c r="G179" s="93"/>
      <c r="H179" s="93"/>
      <c r="I179" s="93"/>
      <c r="J179" s="93"/>
    </row>
    <row r="180">
      <c r="A180" s="93"/>
      <c r="B180" s="93"/>
      <c r="C180" s="93"/>
      <c r="D180" s="93"/>
      <c r="E180" s="93"/>
      <c r="F180" s="93"/>
      <c r="G180" s="93"/>
      <c r="H180" s="93"/>
      <c r="I180" s="93"/>
      <c r="J180" s="93"/>
    </row>
    <row r="181">
      <c r="A181" s="45"/>
    </row>
    <row r="183">
      <c r="A183" t="s">
        <v>413</v>
      </c>
    </row>
    <row r="184">
      <c r="A184">
        <v>1.0</v>
      </c>
      <c r="B184" t="s">
        <v>636</v>
      </c>
    </row>
    <row r="185">
      <c r="A185">
        <v>2.0</v>
      </c>
      <c r="B185" t="s">
        <v>637</v>
      </c>
    </row>
    <row r="186">
      <c r="A186">
        <v>3.0</v>
      </c>
      <c r="B186" s="93" t="s">
        <v>638</v>
      </c>
    </row>
  </sheetData>
  <mergeCells count="4">
    <mergeCell ref="A128:J128"/>
    <mergeCell ref="A3:H3"/>
    <mergeCell ref="A181:J181"/>
    <mergeCell ref="A4:H4"/>
  </mergeCells>
  <printOptions/>
  <pageMargins bottom="0.75" footer="0.0" header="0.0" left="0.7" right="0.7" top="0.75"/>
  <pageSetup paperSize="9" orientation="portrait"/>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9.86"/>
    <col customWidth="1" min="3" max="3" width="11.14"/>
    <col customWidth="1" min="4" max="10" width="11.57"/>
    <col customWidth="1" min="11" max="11" width="8.71"/>
  </cols>
  <sheetData>
    <row r="1"/>
    <row r="2">
      <c r="A2" s="25" t="s">
        <v>659</v>
      </c>
    </row>
    <row r="3">
      <c r="A3" s="25" t="s">
        <v>660</v>
      </c>
    </row>
    <row r="4">
      <c r="A4" s="93" t="s">
        <v>218</v>
      </c>
      <c r="B4" s="383">
        <v>1000.0</v>
      </c>
      <c r="C4" s="383" t="s">
        <v>213</v>
      </c>
      <c r="D4" s="383"/>
      <c r="E4" s="383"/>
      <c r="F4" s="383"/>
      <c r="G4" s="93"/>
      <c r="H4" s="93"/>
    </row>
    <row r="5">
      <c r="A5" s="93"/>
      <c r="B5" s="125"/>
      <c r="C5" s="93"/>
      <c r="D5" s="93"/>
      <c r="E5" s="93"/>
      <c r="F5" s="93"/>
      <c r="G5" s="93"/>
      <c r="H5" s="93"/>
    </row>
    <row r="6">
      <c r="A6" s="93" t="s">
        <v>661</v>
      </c>
      <c r="B6" s="384">
        <v>12.0</v>
      </c>
      <c r="C6" s="93"/>
      <c r="D6" s="384"/>
      <c r="E6" s="384"/>
      <c r="F6" s="93"/>
      <c r="G6" s="93"/>
      <c r="H6" s="93"/>
    </row>
    <row r="7">
      <c r="A7" s="93"/>
      <c r="B7" s="93"/>
      <c r="C7" s="384"/>
      <c r="D7" s="384"/>
      <c r="E7" s="384"/>
      <c r="F7" s="93"/>
      <c r="G7" s="93"/>
      <c r="H7" s="93"/>
    </row>
    <row r="8">
      <c r="A8" s="197" t="s">
        <v>82</v>
      </c>
      <c r="B8" s="198" t="s">
        <v>137</v>
      </c>
      <c r="C8" s="198" t="s">
        <v>138</v>
      </c>
      <c r="D8" s="198" t="s">
        <v>139</v>
      </c>
      <c r="E8" s="198" t="s">
        <v>140</v>
      </c>
      <c r="F8" s="198" t="s">
        <v>141</v>
      </c>
      <c r="G8" s="198" t="s">
        <v>142</v>
      </c>
      <c r="H8" s="198" t="s">
        <v>143</v>
      </c>
    </row>
    <row r="9">
      <c r="A9" s="87" t="s">
        <v>662</v>
      </c>
      <c r="B9" s="92">
        <v>0.7</v>
      </c>
      <c r="C9" s="92" t="str">
        <f t="shared" ref="C9:F9" si="1">B9+5%</f>
        <v>75%</v>
      </c>
      <c r="D9" s="92" t="str">
        <f t="shared" si="1"/>
        <v>80%</v>
      </c>
      <c r="E9" s="92" t="str">
        <f t="shared" si="1"/>
        <v>85%</v>
      </c>
      <c r="F9" s="92" t="str">
        <f t="shared" si="1"/>
        <v>90%</v>
      </c>
      <c r="G9" s="92" t="str">
        <f t="shared" ref="G9:H9" si="2">+F9+5%</f>
        <v>95%</v>
      </c>
      <c r="H9" s="92" t="str">
        <f t="shared" si="2"/>
        <v>100%</v>
      </c>
      <c r="I9" s="120"/>
      <c r="J9" s="120"/>
      <c r="K9" s="120"/>
    </row>
    <row r="10">
      <c r="A10" s="90" t="s">
        <v>663</v>
      </c>
      <c r="B10" s="361" t="str">
        <f t="shared" ref="B10:H10" si="3">$B$4*B9*$B$6</f>
        <v>  8,400.00 </v>
      </c>
      <c r="C10" s="361" t="str">
        <f t="shared" si="3"/>
        <v>  9,000.00 </v>
      </c>
      <c r="D10" s="361" t="str">
        <f t="shared" si="3"/>
        <v>  9,600.00 </v>
      </c>
      <c r="E10" s="361" t="str">
        <f t="shared" si="3"/>
        <v>  10,200.00 </v>
      </c>
      <c r="F10" s="361" t="str">
        <f t="shared" si="3"/>
        <v>  10,800.00 </v>
      </c>
      <c r="G10" s="361" t="str">
        <f t="shared" si="3"/>
        <v>  11,400.00 </v>
      </c>
      <c r="H10" s="361" t="str">
        <f t="shared" si="3"/>
        <v>  12,000.00 </v>
      </c>
    </row>
    <row r="11"/>
    <row r="12"/>
    <row r="13"/>
    <row r="14"/>
    <row r="15">
      <c r="A15" s="25" t="s">
        <v>664</v>
      </c>
    </row>
    <row r="16">
      <c r="A16" s="45"/>
      <c r="B16" s="45"/>
      <c r="C16" s="45"/>
      <c r="D16" s="45"/>
      <c r="E16" s="45"/>
      <c r="F16" s="45"/>
      <c r="G16" s="45"/>
      <c r="H16" s="45"/>
    </row>
    <row r="17">
      <c r="A17" s="93"/>
      <c r="B17" s="93"/>
      <c r="C17" s="93"/>
      <c r="D17" s="195">
        <v>1.0</v>
      </c>
      <c r="E17" s="196" t="str">
        <f t="shared" ref="E17:J17" si="4">(D17*5%)+D17</f>
        <v>105.00%</v>
      </c>
      <c r="F17" s="196" t="str">
        <f t="shared" si="4"/>
        <v>110.25%</v>
      </c>
      <c r="G17" s="196" t="str">
        <f t="shared" si="4"/>
        <v>115.76%</v>
      </c>
      <c r="H17" s="196" t="str">
        <f t="shared" si="4"/>
        <v>121.55%</v>
      </c>
      <c r="I17" s="196" t="str">
        <f t="shared" si="4"/>
        <v>127.63%</v>
      </c>
      <c r="J17" s="196" t="str">
        <f t="shared" si="4"/>
        <v>134.01%</v>
      </c>
    </row>
    <row r="18">
      <c r="A18" s="197" t="s">
        <v>156</v>
      </c>
      <c r="B18" s="197" t="s">
        <v>206</v>
      </c>
      <c r="C18" s="197" t="s">
        <v>220</v>
      </c>
      <c r="D18" s="198" t="s">
        <v>137</v>
      </c>
      <c r="E18" s="198" t="s">
        <v>138</v>
      </c>
      <c r="F18" s="198" t="s">
        <v>139</v>
      </c>
      <c r="G18" s="198" t="s">
        <v>140</v>
      </c>
      <c r="H18" s="198" t="s">
        <v>141</v>
      </c>
      <c r="I18" s="198" t="s">
        <v>142</v>
      </c>
      <c r="J18" s="198" t="s">
        <v>143</v>
      </c>
    </row>
    <row r="19">
      <c r="A19" s="87"/>
      <c r="B19" s="87"/>
      <c r="C19" s="87"/>
      <c r="D19" s="87"/>
      <c r="E19" s="87"/>
      <c r="F19" s="87"/>
      <c r="G19" s="87"/>
      <c r="H19" s="87"/>
      <c r="I19" s="87"/>
      <c r="J19" s="87"/>
    </row>
    <row r="20">
      <c r="A20" s="90" t="s">
        <v>665</v>
      </c>
      <c r="B20" s="90"/>
      <c r="C20" s="90"/>
      <c r="D20" s="87"/>
      <c r="E20" s="87"/>
      <c r="F20" s="87"/>
      <c r="G20" s="87"/>
      <c r="H20" s="87"/>
      <c r="I20" s="87"/>
      <c r="J20" s="87"/>
    </row>
    <row r="21">
      <c r="A21" s="87" t="s">
        <v>666</v>
      </c>
      <c r="B21" s="87"/>
      <c r="C21" s="88">
        <v>120.0</v>
      </c>
      <c r="D21" s="88" t="str">
        <f t="shared" ref="D21:J21" si="5">B10*$C$21*D17</f>
        <v>  1,008,000 </v>
      </c>
      <c r="E21" s="88" t="str">
        <f t="shared" si="5"/>
        <v>  1,134,000 </v>
      </c>
      <c r="F21" s="88" t="str">
        <f t="shared" si="5"/>
        <v>  1,270,080 </v>
      </c>
      <c r="G21" s="88" t="str">
        <f t="shared" si="5"/>
        <v>  1,416,933 </v>
      </c>
      <c r="H21" s="88" t="str">
        <f t="shared" si="5"/>
        <v>  1,575,296 </v>
      </c>
      <c r="I21" s="88" t="str">
        <f t="shared" si="5"/>
        <v>  1,745,953 </v>
      </c>
      <c r="J21" s="88" t="str">
        <f t="shared" si="5"/>
        <v>  1,929,738 </v>
      </c>
    </row>
    <row r="22">
      <c r="A22" s="87"/>
      <c r="B22" s="87"/>
      <c r="C22" s="88"/>
      <c r="D22" s="88"/>
      <c r="E22" s="88"/>
      <c r="F22" s="88"/>
      <c r="G22" s="88"/>
      <c r="H22" s="88"/>
      <c r="I22" s="88"/>
      <c r="J22" s="88"/>
    </row>
    <row r="23">
      <c r="A23" s="90" t="s">
        <v>455</v>
      </c>
      <c r="B23" s="90"/>
      <c r="C23" s="91"/>
      <c r="D23" s="88" t="str">
        <f t="shared" ref="D23:J23" si="6">SUM(D21)</f>
        <v>  1,008,000 </v>
      </c>
      <c r="E23" s="88" t="str">
        <f t="shared" si="6"/>
        <v>  1,134,000 </v>
      </c>
      <c r="F23" s="88" t="str">
        <f t="shared" si="6"/>
        <v>  1,270,080 </v>
      </c>
      <c r="G23" s="88" t="str">
        <f t="shared" si="6"/>
        <v>  1,416,933 </v>
      </c>
      <c r="H23" s="88" t="str">
        <f t="shared" si="6"/>
        <v>  1,575,296 </v>
      </c>
      <c r="I23" s="88" t="str">
        <f t="shared" si="6"/>
        <v>  1,745,953 </v>
      </c>
      <c r="J23" s="88" t="str">
        <f t="shared" si="6"/>
        <v>  1,929,738 </v>
      </c>
    </row>
    <row r="24">
      <c r="A24" s="87"/>
      <c r="B24" s="87"/>
      <c r="C24" s="88"/>
      <c r="D24" s="88"/>
      <c r="E24" s="88"/>
      <c r="F24" s="88"/>
      <c r="G24" s="88"/>
      <c r="H24" s="88"/>
      <c r="I24" s="88"/>
      <c r="J24" s="88"/>
    </row>
    <row r="25">
      <c r="A25" s="90" t="s">
        <v>622</v>
      </c>
      <c r="B25" s="90"/>
      <c r="C25" s="88"/>
      <c r="D25" s="88"/>
      <c r="E25" s="88"/>
      <c r="F25" s="88"/>
      <c r="G25" s="88"/>
      <c r="H25" s="88"/>
      <c r="I25" s="88"/>
      <c r="J25" s="88"/>
    </row>
    <row r="26">
      <c r="A26" s="90" t="s">
        <v>198</v>
      </c>
      <c r="B26" s="90"/>
      <c r="C26" s="88"/>
      <c r="D26" s="88"/>
      <c r="E26" s="88"/>
      <c r="F26" s="88"/>
      <c r="G26" s="88"/>
      <c r="H26" s="88"/>
      <c r="I26" s="88"/>
      <c r="J26" s="88"/>
    </row>
    <row r="27">
      <c r="A27" s="87" t="s">
        <v>667</v>
      </c>
      <c r="B27" s="87" t="s">
        <v>213</v>
      </c>
      <c r="C27" s="88">
        <v>15.0</v>
      </c>
      <c r="D27" s="88" t="str">
        <f t="shared" ref="D27:J27" si="7">$B$4*$C$27*D17*4</f>
        <v>  60,000 </v>
      </c>
      <c r="E27" s="88" t="str">
        <f t="shared" si="7"/>
        <v>  63,000 </v>
      </c>
      <c r="F27" s="88" t="str">
        <f t="shared" si="7"/>
        <v>  66,150 </v>
      </c>
      <c r="G27" s="88" t="str">
        <f t="shared" si="7"/>
        <v>  69,458 </v>
      </c>
      <c r="H27" s="88" t="str">
        <f t="shared" si="7"/>
        <v>  72,930 </v>
      </c>
      <c r="I27" s="88" t="str">
        <f t="shared" si="7"/>
        <v>  76,577 </v>
      </c>
      <c r="J27" s="88" t="str">
        <f t="shared" si="7"/>
        <v>  80,406 </v>
      </c>
    </row>
    <row r="28">
      <c r="A28" s="87" t="s">
        <v>668</v>
      </c>
      <c r="B28" s="87" t="s">
        <v>213</v>
      </c>
      <c r="C28" s="88">
        <v>15.0</v>
      </c>
      <c r="D28" s="88" t="str">
        <f t="shared" ref="D28:J28" si="8">$B$4*$C$28*D17*12</f>
        <v>  180,000 </v>
      </c>
      <c r="E28" s="88" t="str">
        <f t="shared" si="8"/>
        <v>  189,000 </v>
      </c>
      <c r="F28" s="88" t="str">
        <f t="shared" si="8"/>
        <v>  198,450 </v>
      </c>
      <c r="G28" s="88" t="str">
        <f t="shared" si="8"/>
        <v>  208,373 </v>
      </c>
      <c r="H28" s="88" t="str">
        <f t="shared" si="8"/>
        <v>  218,791 </v>
      </c>
      <c r="I28" s="88" t="str">
        <f t="shared" si="8"/>
        <v>  229,731 </v>
      </c>
      <c r="J28" s="88" t="str">
        <f t="shared" si="8"/>
        <v>  241,217 </v>
      </c>
    </row>
    <row r="29">
      <c r="A29" s="87" t="s">
        <v>669</v>
      </c>
      <c r="B29" s="87"/>
      <c r="C29" s="88">
        <v>5000.0</v>
      </c>
      <c r="D29" s="88" t="str">
        <f t="shared" ref="D29:J29" si="9">$C$29*12*D17</f>
        <v>  60,000 </v>
      </c>
      <c r="E29" s="88" t="str">
        <f t="shared" si="9"/>
        <v>  63,000 </v>
      </c>
      <c r="F29" s="88" t="str">
        <f t="shared" si="9"/>
        <v>  66,150 </v>
      </c>
      <c r="G29" s="88" t="str">
        <f t="shared" si="9"/>
        <v>  69,458 </v>
      </c>
      <c r="H29" s="88" t="str">
        <f t="shared" si="9"/>
        <v>  72,930 </v>
      </c>
      <c r="I29" s="88" t="str">
        <f t="shared" si="9"/>
        <v>  76,577 </v>
      </c>
      <c r="J29" s="88" t="str">
        <f t="shared" si="9"/>
        <v>  80,406 </v>
      </c>
    </row>
    <row r="30">
      <c r="A30" s="87" t="s">
        <v>670</v>
      </c>
      <c r="B30" s="87"/>
      <c r="C30" s="88">
        <v>5000.0</v>
      </c>
      <c r="D30" s="88" t="str">
        <f>$C$30*12*D17</f>
        <v>  60,000 </v>
      </c>
      <c r="E30" s="88">
        <v>66000.0</v>
      </c>
      <c r="F30" s="88">
        <v>72600.0</v>
      </c>
      <c r="G30" s="88">
        <v>79860.0</v>
      </c>
      <c r="H30" s="88">
        <v>87846.0</v>
      </c>
      <c r="I30" s="88">
        <v>96631.0</v>
      </c>
      <c r="J30" s="88">
        <v>106294.0</v>
      </c>
    </row>
    <row r="31">
      <c r="A31" s="87"/>
      <c r="B31" s="87"/>
      <c r="C31" s="88"/>
      <c r="D31" s="88"/>
      <c r="E31" s="88"/>
      <c r="F31" s="88"/>
      <c r="G31" s="88"/>
      <c r="H31" s="88"/>
      <c r="I31" s="88"/>
      <c r="J31" s="88"/>
    </row>
    <row r="32">
      <c r="A32" s="87"/>
      <c r="B32" s="87"/>
      <c r="C32" s="88"/>
      <c r="D32" s="88"/>
      <c r="E32" s="88"/>
      <c r="F32" s="88"/>
      <c r="G32" s="88"/>
      <c r="H32" s="88"/>
      <c r="I32" s="88"/>
      <c r="J32" s="88"/>
    </row>
    <row r="33">
      <c r="A33" s="87"/>
      <c r="B33" s="87"/>
      <c r="C33" s="88"/>
      <c r="D33" s="88"/>
      <c r="E33" s="88"/>
      <c r="F33" s="88"/>
      <c r="G33" s="88"/>
      <c r="H33" s="88"/>
      <c r="I33" s="88"/>
      <c r="J33" s="88"/>
    </row>
    <row r="34">
      <c r="A34" s="90" t="s">
        <v>456</v>
      </c>
      <c r="B34" s="90"/>
      <c r="C34" s="91"/>
      <c r="D34" s="91" t="str">
        <f t="shared" ref="D34:J34" si="10">SUM(D27:D33)</f>
        <v>  360,000 </v>
      </c>
      <c r="E34" s="91" t="str">
        <f t="shared" si="10"/>
        <v>  381,000 </v>
      </c>
      <c r="F34" s="91" t="str">
        <f t="shared" si="10"/>
        <v>  403,350 </v>
      </c>
      <c r="G34" s="91" t="str">
        <f t="shared" si="10"/>
        <v>  427,148 </v>
      </c>
      <c r="H34" s="91" t="str">
        <f t="shared" si="10"/>
        <v>  452,498 </v>
      </c>
      <c r="I34" s="91" t="str">
        <f t="shared" si="10"/>
        <v>  479,515 </v>
      </c>
      <c r="J34" s="91" t="str">
        <f t="shared" si="10"/>
        <v>  508,323 </v>
      </c>
    </row>
    <row r="35">
      <c r="A35" s="90"/>
      <c r="B35" s="90"/>
      <c r="C35" s="91"/>
      <c r="D35" s="91"/>
      <c r="E35" s="91"/>
      <c r="F35" s="91"/>
      <c r="G35" s="91"/>
      <c r="H35" s="91"/>
      <c r="I35" s="91"/>
      <c r="J35" s="91"/>
    </row>
    <row r="36">
      <c r="A36" s="90" t="s">
        <v>457</v>
      </c>
      <c r="B36" s="87"/>
      <c r="C36" s="88"/>
      <c r="D36" s="88"/>
      <c r="E36" s="88"/>
      <c r="F36" s="88"/>
      <c r="G36" s="88"/>
      <c r="H36" s="88"/>
      <c r="I36" s="88"/>
      <c r="J36" s="88"/>
    </row>
    <row r="37">
      <c r="A37" s="87" t="s">
        <v>671</v>
      </c>
      <c r="B37" s="87">
        <v>1.0</v>
      </c>
      <c r="C37" s="88">
        <v>18000.0</v>
      </c>
      <c r="D37" s="88" t="str">
        <f t="shared" ref="D37:J37" si="11">$B$37*$C$37*D17*12</f>
        <v>  216,000 </v>
      </c>
      <c r="E37" s="88" t="str">
        <f t="shared" si="11"/>
        <v>  226,800 </v>
      </c>
      <c r="F37" s="88" t="str">
        <f t="shared" si="11"/>
        <v>  238,140 </v>
      </c>
      <c r="G37" s="88" t="str">
        <f t="shared" si="11"/>
        <v>  250,047 </v>
      </c>
      <c r="H37" s="88" t="str">
        <f t="shared" si="11"/>
        <v>  262,549 </v>
      </c>
      <c r="I37" s="88" t="str">
        <f t="shared" si="11"/>
        <v>  275,677 </v>
      </c>
      <c r="J37" s="88" t="str">
        <f t="shared" si="11"/>
        <v>  289,461 </v>
      </c>
    </row>
    <row r="38">
      <c r="A38" s="87" t="s">
        <v>631</v>
      </c>
      <c r="B38" s="87">
        <v>1.0</v>
      </c>
      <c r="C38" s="88">
        <v>10000.0</v>
      </c>
      <c r="D38" s="88" t="str">
        <f t="shared" ref="D38:J38" si="12">$B$38*$C$38*D17*12</f>
        <v>  120,000 </v>
      </c>
      <c r="E38" s="88" t="str">
        <f t="shared" si="12"/>
        <v>  126,000 </v>
      </c>
      <c r="F38" s="88" t="str">
        <f t="shared" si="12"/>
        <v>  132,300 </v>
      </c>
      <c r="G38" s="88" t="str">
        <f t="shared" si="12"/>
        <v>  138,915 </v>
      </c>
      <c r="H38" s="88" t="str">
        <f t="shared" si="12"/>
        <v>  145,861 </v>
      </c>
      <c r="I38" s="88" t="str">
        <f t="shared" si="12"/>
        <v>  153,154 </v>
      </c>
      <c r="J38" s="88" t="str">
        <f t="shared" si="12"/>
        <v>  160,811 </v>
      </c>
    </row>
    <row r="39">
      <c r="A39" s="87"/>
      <c r="B39" s="87">
        <v>0.0</v>
      </c>
      <c r="C39" s="88">
        <v>0.0</v>
      </c>
      <c r="D39" s="88" t="str">
        <f t="shared" ref="D39:J39" si="13">$B$39*$C$39*D17*12</f>
        <v>  -   </v>
      </c>
      <c r="E39" s="88" t="str">
        <f t="shared" si="13"/>
        <v>  -   </v>
      </c>
      <c r="F39" s="88" t="str">
        <f t="shared" si="13"/>
        <v>  -   </v>
      </c>
      <c r="G39" s="88" t="str">
        <f t="shared" si="13"/>
        <v>  -   </v>
      </c>
      <c r="H39" s="88" t="str">
        <f t="shared" si="13"/>
        <v>  -   </v>
      </c>
      <c r="I39" s="88" t="str">
        <f t="shared" si="13"/>
        <v>  -   </v>
      </c>
      <c r="J39" s="88" t="str">
        <f t="shared" si="13"/>
        <v>  -   </v>
      </c>
    </row>
    <row r="40">
      <c r="A40" s="87"/>
      <c r="B40" s="87"/>
      <c r="C40" s="88"/>
      <c r="D40" s="88"/>
      <c r="E40" s="88"/>
      <c r="F40" s="88"/>
      <c r="G40" s="88"/>
      <c r="H40" s="88"/>
      <c r="I40" s="88"/>
      <c r="J40" s="88"/>
    </row>
    <row r="41">
      <c r="A41" s="87"/>
      <c r="B41" s="87"/>
      <c r="C41" s="88"/>
      <c r="D41" s="88"/>
      <c r="E41" s="88"/>
      <c r="F41" s="88"/>
      <c r="G41" s="88"/>
      <c r="H41" s="88"/>
      <c r="I41" s="88"/>
      <c r="J41" s="88"/>
    </row>
    <row r="42">
      <c r="A42" s="87"/>
      <c r="B42" s="87"/>
      <c r="C42" s="88"/>
      <c r="D42" s="88"/>
      <c r="E42" s="88"/>
      <c r="F42" s="88"/>
      <c r="G42" s="88"/>
      <c r="H42" s="88"/>
      <c r="I42" s="88"/>
      <c r="J42" s="88"/>
    </row>
    <row r="43">
      <c r="A43" s="90" t="s">
        <v>459</v>
      </c>
      <c r="B43" s="90"/>
      <c r="C43" s="91"/>
      <c r="D43" s="91" t="str">
        <f t="shared" ref="D43:J43" si="14">SUM(D37:D42)</f>
        <v>  336,000 </v>
      </c>
      <c r="E43" s="91" t="str">
        <f t="shared" si="14"/>
        <v>  352,800 </v>
      </c>
      <c r="F43" s="91" t="str">
        <f t="shared" si="14"/>
        <v>  370,440 </v>
      </c>
      <c r="G43" s="91" t="str">
        <f t="shared" si="14"/>
        <v>  388,962 </v>
      </c>
      <c r="H43" s="91" t="str">
        <f t="shared" si="14"/>
        <v>  408,410 </v>
      </c>
      <c r="I43" s="91" t="str">
        <f t="shared" si="14"/>
        <v>  428,831 </v>
      </c>
      <c r="J43" s="91" t="str">
        <f t="shared" si="14"/>
        <v>  450,272 </v>
      </c>
    </row>
    <row r="44">
      <c r="A44" s="90"/>
      <c r="B44" s="90"/>
      <c r="C44" s="91"/>
      <c r="D44" s="91"/>
      <c r="E44" s="91"/>
      <c r="F44" s="91"/>
      <c r="G44" s="91"/>
      <c r="H44" s="91"/>
      <c r="I44" s="91"/>
      <c r="J44" s="91"/>
    </row>
    <row r="45">
      <c r="A45" s="90" t="s">
        <v>632</v>
      </c>
      <c r="B45" s="90"/>
      <c r="C45" s="91"/>
      <c r="D45" s="91" t="str">
        <f t="shared" ref="D45:J45" si="15">D34+D43</f>
        <v>  696,000 </v>
      </c>
      <c r="E45" s="91" t="str">
        <f t="shared" si="15"/>
        <v>  733,800 </v>
      </c>
      <c r="F45" s="91" t="str">
        <f t="shared" si="15"/>
        <v>  773,790 </v>
      </c>
      <c r="G45" s="91" t="str">
        <f t="shared" si="15"/>
        <v>  816,110 </v>
      </c>
      <c r="H45" s="91" t="str">
        <f t="shared" si="15"/>
        <v>  860,908 </v>
      </c>
      <c r="I45" s="91" t="str">
        <f t="shared" si="15"/>
        <v>  908,346 </v>
      </c>
      <c r="J45" s="91" t="str">
        <f t="shared" si="15"/>
        <v>  958,595 </v>
      </c>
    </row>
    <row r="46">
      <c r="A46" s="87"/>
      <c r="B46" s="87"/>
      <c r="C46" s="88"/>
      <c r="D46" s="88"/>
      <c r="E46" s="88"/>
      <c r="F46" s="88"/>
      <c r="G46" s="88"/>
      <c r="H46" s="88"/>
      <c r="I46" s="88"/>
      <c r="J46" s="88"/>
    </row>
    <row r="47">
      <c r="A47" s="90" t="s">
        <v>672</v>
      </c>
      <c r="B47" s="90"/>
      <c r="C47" s="91"/>
      <c r="D47" s="91" t="str">
        <f t="shared" ref="D47:J47" si="16">D23-D45</f>
        <v>  312,000 </v>
      </c>
      <c r="E47" s="91" t="str">
        <f t="shared" si="16"/>
        <v>  400,200 </v>
      </c>
      <c r="F47" s="91" t="str">
        <f t="shared" si="16"/>
        <v>  496,290 </v>
      </c>
      <c r="G47" s="91" t="str">
        <f t="shared" si="16"/>
        <v>  600,824 </v>
      </c>
      <c r="H47" s="91" t="str">
        <f t="shared" si="16"/>
        <v>  714,388 </v>
      </c>
      <c r="I47" s="91" t="str">
        <f t="shared" si="16"/>
        <v>  837,607 </v>
      </c>
      <c r="J47" s="91" t="str">
        <f t="shared" si="16"/>
        <v>  971,143 </v>
      </c>
    </row>
    <row r="48">
      <c r="A48" s="93"/>
      <c r="B48" s="93"/>
      <c r="C48" s="93"/>
      <c r="D48" s="93"/>
      <c r="E48" s="93"/>
      <c r="F48" s="93"/>
      <c r="G48" s="93"/>
      <c r="H48" s="93"/>
      <c r="I48" s="93"/>
      <c r="J48" s="93"/>
    </row>
    <row r="49">
      <c r="A49" s="93"/>
    </row>
    <row r="51">
      <c r="A51" s="45" t="s">
        <v>673</v>
      </c>
    </row>
    <row r="53">
      <c r="A53" t="s">
        <v>413</v>
      </c>
    </row>
    <row r="54">
      <c r="A54">
        <v>1.0</v>
      </c>
      <c r="B54" t="s">
        <v>636</v>
      </c>
    </row>
    <row r="55">
      <c r="A55">
        <v>2.0</v>
      </c>
      <c r="B55" t="s">
        <v>637</v>
      </c>
    </row>
    <row r="56">
      <c r="A56">
        <v>3.0</v>
      </c>
      <c r="B56" s="93" t="s">
        <v>638</v>
      </c>
    </row>
  </sheetData>
  <mergeCells count="4">
    <mergeCell ref="A15:J15"/>
    <mergeCell ref="A2:H2"/>
    <mergeCell ref="A51:J51"/>
    <mergeCell ref="A3:H3"/>
  </mergeCells>
  <printOptions/>
  <pageMargins bottom="0.75" footer="0.0" header="0.0" left="0.7" right="0.7" top="0.75"/>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1"/>
    <row r="2"/>
    <row r="3">
      <c r="A3" s="25" t="s">
        <v>674</v>
      </c>
    </row>
    <row r="4">
      <c r="A4" s="25" t="s">
        <v>675</v>
      </c>
    </row>
    <row r="5">
      <c r="A5" s="93"/>
      <c r="B5" s="93"/>
      <c r="C5" s="93"/>
    </row>
    <row r="6">
      <c r="A6" s="93"/>
      <c r="B6" s="93"/>
      <c r="C6" s="93"/>
    </row>
    <row r="7">
      <c r="A7" s="322" t="s">
        <v>81</v>
      </c>
      <c r="B7" s="332" t="s">
        <v>676</v>
      </c>
      <c r="C7" s="332" t="s">
        <v>677</v>
      </c>
      <c r="D7" s="332" t="s">
        <v>678</v>
      </c>
      <c r="E7" s="332" t="s">
        <v>679</v>
      </c>
      <c r="F7" s="332" t="s">
        <v>680</v>
      </c>
      <c r="G7" s="332" t="s">
        <v>681</v>
      </c>
      <c r="H7" s="332" t="s">
        <v>682</v>
      </c>
      <c r="I7" s="332" t="s">
        <v>683</v>
      </c>
      <c r="J7" s="385" t="s">
        <v>684</v>
      </c>
      <c r="K7" s="332" t="s">
        <v>685</v>
      </c>
      <c r="L7" s="385" t="s">
        <v>686</v>
      </c>
      <c r="M7" s="332" t="s">
        <v>687</v>
      </c>
    </row>
    <row r="8">
      <c r="A8" s="386">
        <v>1.0</v>
      </c>
      <c r="B8" s="325" t="s">
        <v>688</v>
      </c>
      <c r="C8" s="325"/>
      <c r="D8" s="325"/>
      <c r="E8" s="325"/>
      <c r="F8" s="42" t="str">
        <f t="shared" ref="F8:F10" si="1">D8*E8*C8</f>
        <v>0</v>
      </c>
      <c r="G8" s="325">
        <v>4.0</v>
      </c>
      <c r="H8" s="42" t="str">
        <f t="shared" ref="H8:H10" si="2">F8/G8</f>
        <v>0</v>
      </c>
      <c r="I8" s="325">
        <v>3.0</v>
      </c>
      <c r="J8" s="42" t="str">
        <f>H8*I8</f>
        <v>0</v>
      </c>
      <c r="K8" s="325"/>
      <c r="L8" s="325">
        <v>1.0</v>
      </c>
      <c r="M8" s="42" t="str">
        <f t="shared" ref="M8:M10" si="3">D8*L8</f>
        <v>0</v>
      </c>
    </row>
    <row r="9">
      <c r="A9" s="386">
        <v>2.0</v>
      </c>
      <c r="B9" s="325" t="s">
        <v>689</v>
      </c>
      <c r="C9" s="325"/>
      <c r="D9" s="325"/>
      <c r="E9" s="325"/>
      <c r="F9" s="42" t="str">
        <f t="shared" si="1"/>
        <v>0</v>
      </c>
      <c r="G9" s="325">
        <v>2.0</v>
      </c>
      <c r="H9" s="42" t="str">
        <f t="shared" si="2"/>
        <v>0</v>
      </c>
      <c r="I9" s="325">
        <v>8.0</v>
      </c>
      <c r="J9" s="42" t="str">
        <f t="shared" ref="J9:J12" si="4">H9*I9*0</f>
        <v>0</v>
      </c>
      <c r="K9" s="325"/>
      <c r="L9" s="325">
        <v>1.0</v>
      </c>
      <c r="M9" s="42" t="str">
        <f t="shared" si="3"/>
        <v>0</v>
      </c>
    </row>
    <row r="10">
      <c r="A10" s="386">
        <v>3.0</v>
      </c>
      <c r="B10" s="325" t="s">
        <v>690</v>
      </c>
      <c r="C10" s="325"/>
      <c r="D10" s="325"/>
      <c r="E10" s="325"/>
      <c r="F10" s="42" t="str">
        <f t="shared" si="1"/>
        <v>0</v>
      </c>
      <c r="G10" s="325">
        <v>2.0</v>
      </c>
      <c r="H10" s="42" t="str">
        <f t="shared" si="2"/>
        <v>0</v>
      </c>
      <c r="I10" s="325">
        <v>8.0</v>
      </c>
      <c r="J10" s="42" t="str">
        <f t="shared" si="4"/>
        <v>0</v>
      </c>
      <c r="K10" s="325"/>
      <c r="L10" s="325">
        <v>1.0</v>
      </c>
      <c r="M10" s="42" t="str">
        <f t="shared" si="3"/>
        <v>0</v>
      </c>
    </row>
    <row r="11">
      <c r="A11" s="386">
        <v>4.0</v>
      </c>
      <c r="B11" s="325"/>
      <c r="C11" s="325"/>
      <c r="D11" s="325"/>
      <c r="E11" s="325"/>
      <c r="F11" s="42" t="str">
        <f t="shared" ref="F11:F12" si="5">D11*E11*C11*0</f>
        <v>0</v>
      </c>
      <c r="G11" s="325">
        <v>2.0</v>
      </c>
      <c r="H11" s="42" t="str">
        <f t="shared" ref="H11:H12" si="6">F11/G11*0</f>
        <v>0</v>
      </c>
      <c r="I11" s="325">
        <v>4.0</v>
      </c>
      <c r="J11" s="42" t="str">
        <f t="shared" si="4"/>
        <v>0</v>
      </c>
      <c r="K11" s="325"/>
      <c r="L11" s="325">
        <v>1.0</v>
      </c>
      <c r="M11" s="42" t="str">
        <f t="shared" ref="M11:M12" si="7">D11*L11*0</f>
        <v>0</v>
      </c>
    </row>
    <row r="12">
      <c r="A12" s="386">
        <v>5.0</v>
      </c>
      <c r="B12" s="325"/>
      <c r="C12" s="325"/>
      <c r="D12" s="325"/>
      <c r="E12" s="325"/>
      <c r="F12" s="42" t="str">
        <f t="shared" si="5"/>
        <v>0</v>
      </c>
      <c r="G12" s="325">
        <v>2.0</v>
      </c>
      <c r="H12" s="42" t="str">
        <f t="shared" si="6"/>
        <v>0</v>
      </c>
      <c r="I12" s="325">
        <v>10.0</v>
      </c>
      <c r="J12" s="42" t="str">
        <f t="shared" si="4"/>
        <v>0</v>
      </c>
      <c r="K12" s="325"/>
      <c r="L12" s="325">
        <v>1.0</v>
      </c>
      <c r="M12" s="42" t="str">
        <f t="shared" si="7"/>
        <v>0</v>
      </c>
    </row>
    <row r="13">
      <c r="A13" s="386">
        <v>6.0</v>
      </c>
      <c r="B13" s="42"/>
      <c r="C13" s="42"/>
      <c r="D13" s="42"/>
      <c r="E13" s="42"/>
      <c r="F13" s="42" t="str">
        <f t="shared" ref="F13:F17" si="8">D13*E13*C13</f>
        <v>0</v>
      </c>
      <c r="G13" s="42">
        <v>0.0</v>
      </c>
      <c r="H13" s="325"/>
      <c r="I13" s="42"/>
      <c r="J13" s="42" t="str">
        <f t="shared" ref="J13:J17" si="9">H13*I13</f>
        <v>0</v>
      </c>
      <c r="K13" s="42"/>
      <c r="L13" s="42"/>
      <c r="M13" s="42" t="str">
        <f t="shared" ref="M13:M17" si="10">D13*L13</f>
        <v>0</v>
      </c>
    </row>
    <row r="14">
      <c r="A14" s="386">
        <v>7.0</v>
      </c>
      <c r="B14" s="42"/>
      <c r="C14" s="42"/>
      <c r="D14" s="42"/>
      <c r="E14" s="42"/>
      <c r="F14" s="42" t="str">
        <f t="shared" si="8"/>
        <v>0</v>
      </c>
      <c r="G14" s="42">
        <v>0.0</v>
      </c>
      <c r="H14" s="325"/>
      <c r="I14" s="42"/>
      <c r="J14" s="42" t="str">
        <f t="shared" si="9"/>
        <v>0</v>
      </c>
      <c r="K14" s="42"/>
      <c r="L14" s="42"/>
      <c r="M14" s="42" t="str">
        <f t="shared" si="10"/>
        <v>0</v>
      </c>
    </row>
    <row r="15">
      <c r="A15" s="386">
        <v>8.0</v>
      </c>
      <c r="B15" s="42"/>
      <c r="C15" s="42"/>
      <c r="D15" s="42"/>
      <c r="E15" s="42"/>
      <c r="F15" s="42" t="str">
        <f t="shared" si="8"/>
        <v>0</v>
      </c>
      <c r="G15" s="42">
        <v>0.0</v>
      </c>
      <c r="H15" s="325"/>
      <c r="I15" s="42"/>
      <c r="J15" s="42" t="str">
        <f t="shared" si="9"/>
        <v>0</v>
      </c>
      <c r="K15" s="42"/>
      <c r="L15" s="42"/>
      <c r="M15" s="42" t="str">
        <f t="shared" si="10"/>
        <v>0</v>
      </c>
    </row>
    <row r="16">
      <c r="A16" s="386">
        <v>9.0</v>
      </c>
      <c r="B16" s="42"/>
      <c r="C16" s="42"/>
      <c r="D16" s="42"/>
      <c r="E16" s="42"/>
      <c r="F16" s="42" t="str">
        <f t="shared" si="8"/>
        <v>0</v>
      </c>
      <c r="G16" s="42">
        <v>0.0</v>
      </c>
      <c r="H16" s="325"/>
      <c r="I16" s="42"/>
      <c r="J16" s="42" t="str">
        <f t="shared" si="9"/>
        <v>0</v>
      </c>
      <c r="K16" s="42"/>
      <c r="L16" s="42"/>
      <c r="M16" s="42" t="str">
        <f t="shared" si="10"/>
        <v>0</v>
      </c>
    </row>
    <row r="17">
      <c r="A17" s="386">
        <v>10.0</v>
      </c>
      <c r="B17" s="42"/>
      <c r="C17" s="42"/>
      <c r="D17" s="42"/>
      <c r="E17" s="42"/>
      <c r="F17" s="42" t="str">
        <f t="shared" si="8"/>
        <v>0</v>
      </c>
      <c r="G17" s="42">
        <v>0.0</v>
      </c>
      <c r="H17" s="325"/>
      <c r="I17" s="42"/>
      <c r="J17" s="42" t="str">
        <f t="shared" si="9"/>
        <v>0</v>
      </c>
      <c r="K17" s="42"/>
      <c r="L17" s="42"/>
      <c r="M17" s="42" t="str">
        <f t="shared" si="10"/>
        <v>0</v>
      </c>
    </row>
    <row r="18">
      <c r="A18" s="155"/>
      <c r="B18" s="155"/>
      <c r="C18" s="120"/>
      <c r="D18" s="120"/>
      <c r="E18" s="120"/>
      <c r="F18" s="120"/>
      <c r="G18" s="120"/>
      <c r="H18" s="120"/>
      <c r="I18" s="120"/>
      <c r="J18" s="120"/>
      <c r="K18" s="120"/>
      <c r="L18" s="120"/>
      <c r="M18" s="120"/>
    </row>
    <row r="19">
      <c r="A19" s="155"/>
      <c r="B19" s="155"/>
      <c r="C19" s="120"/>
      <c r="D19" s="120"/>
      <c r="E19" s="120"/>
      <c r="F19" s="120"/>
      <c r="G19" s="120"/>
      <c r="H19" s="120"/>
      <c r="I19" s="120"/>
      <c r="J19" s="120"/>
      <c r="K19" s="120"/>
      <c r="L19" s="120"/>
      <c r="M19" s="120"/>
    </row>
    <row r="20"/>
    <row r="21">
      <c r="A21" s="25" t="s">
        <v>691</v>
      </c>
    </row>
    <row r="23">
      <c r="A23" s="93"/>
      <c r="B23" s="93"/>
      <c r="C23" s="93"/>
      <c r="D23" s="93"/>
      <c r="E23" s="195">
        <v>1.0</v>
      </c>
      <c r="F23" s="196" t="str">
        <f t="shared" ref="F23:K23" si="11">(E23*5%)+E23</f>
        <v>105.00%</v>
      </c>
      <c r="G23" s="196" t="str">
        <f t="shared" si="11"/>
        <v>110.25%</v>
      </c>
      <c r="H23" s="196" t="str">
        <f t="shared" si="11"/>
        <v>115.76%</v>
      </c>
      <c r="I23" s="196" t="str">
        <f t="shared" si="11"/>
        <v>121.55%</v>
      </c>
      <c r="J23" s="196" t="str">
        <f t="shared" si="11"/>
        <v>127.63%</v>
      </c>
      <c r="K23" s="196" t="str">
        <f t="shared" si="11"/>
        <v>134.01%</v>
      </c>
    </row>
    <row r="24">
      <c r="A24" s="197" t="s">
        <v>156</v>
      </c>
      <c r="B24" s="197" t="s">
        <v>206</v>
      </c>
      <c r="C24" s="197" t="s">
        <v>207</v>
      </c>
      <c r="D24" s="197" t="s">
        <v>220</v>
      </c>
      <c r="E24" s="198" t="s">
        <v>137</v>
      </c>
      <c r="F24" s="198" t="s">
        <v>138</v>
      </c>
      <c r="G24" s="198" t="s">
        <v>139</v>
      </c>
      <c r="H24" s="198" t="s">
        <v>140</v>
      </c>
      <c r="I24" s="198" t="s">
        <v>141</v>
      </c>
      <c r="J24" s="198" t="s">
        <v>142</v>
      </c>
      <c r="K24" s="198" t="s">
        <v>143</v>
      </c>
    </row>
    <row r="25">
      <c r="A25" s="90"/>
      <c r="B25" s="90"/>
      <c r="C25" s="90"/>
      <c r="D25" s="90"/>
      <c r="E25" s="87"/>
      <c r="F25" s="87"/>
      <c r="G25" s="87"/>
      <c r="H25" s="87"/>
      <c r="I25" s="87"/>
      <c r="J25" s="87"/>
      <c r="K25" s="87"/>
    </row>
    <row r="26">
      <c r="A26" s="90" t="s">
        <v>448</v>
      </c>
      <c r="B26" s="90"/>
      <c r="C26" s="90"/>
      <c r="D26" s="90"/>
      <c r="E26" s="87"/>
      <c r="F26" s="87"/>
      <c r="G26" s="87"/>
      <c r="H26" s="87"/>
      <c r="I26" s="87"/>
      <c r="J26" s="87"/>
      <c r="K26" s="87"/>
      <c r="P26" s="93"/>
    </row>
    <row r="27">
      <c r="A27" s="382" t="s">
        <v>692</v>
      </c>
      <c r="B27" s="100"/>
      <c r="C27" s="100"/>
      <c r="D27" s="100"/>
      <c r="E27" s="88"/>
      <c r="F27" s="88"/>
      <c r="G27" s="88"/>
      <c r="H27" s="88"/>
      <c r="I27" s="88"/>
      <c r="J27" s="88"/>
      <c r="K27" s="88"/>
      <c r="P27" s="93"/>
    </row>
    <row r="28">
      <c r="A28" s="100" t="str">
        <f t="shared" ref="A28:A32" si="13">B8</f>
        <v>TRACTOR</v>
      </c>
      <c r="B28" s="100"/>
      <c r="C28" s="100" t="str">
        <f t="shared" ref="C28:C38" si="14">H8</f>
        <v>0</v>
      </c>
      <c r="D28" s="100">
        <v>1000.0</v>
      </c>
      <c r="E28" s="88" t="str">
        <f t="shared" ref="E28:K28" si="12">$C$28*$D$28*E23</f>
        <v>  -   </v>
      </c>
      <c r="F28" s="88" t="str">
        <f t="shared" si="12"/>
        <v>  -   </v>
      </c>
      <c r="G28" s="88" t="str">
        <f t="shared" si="12"/>
        <v>  -   </v>
      </c>
      <c r="H28" s="88" t="str">
        <f t="shared" si="12"/>
        <v>  -   </v>
      </c>
      <c r="I28" s="88" t="str">
        <f t="shared" si="12"/>
        <v>  -   </v>
      </c>
      <c r="J28" s="88" t="str">
        <f t="shared" si="12"/>
        <v>  -   </v>
      </c>
      <c r="K28" s="88" t="str">
        <f t="shared" si="12"/>
        <v>  -   </v>
      </c>
      <c r="P28" s="93"/>
    </row>
    <row r="29">
      <c r="A29" s="100" t="str">
        <f t="shared" si="13"/>
        <v>TRALEY</v>
      </c>
      <c r="B29" s="100"/>
      <c r="C29" s="100" t="str">
        <f t="shared" si="14"/>
        <v>0</v>
      </c>
      <c r="D29" s="100">
        <v>500.0</v>
      </c>
      <c r="E29" s="88" t="str">
        <f t="shared" ref="E29:K29" si="15">$C$29*$D$29*E23</f>
        <v>  -   </v>
      </c>
      <c r="F29" s="88" t="str">
        <f t="shared" si="15"/>
        <v>  -   </v>
      </c>
      <c r="G29" s="88" t="str">
        <f t="shared" si="15"/>
        <v>  -   </v>
      </c>
      <c r="H29" s="88" t="str">
        <f t="shared" si="15"/>
        <v>  -   </v>
      </c>
      <c r="I29" s="88" t="str">
        <f t="shared" si="15"/>
        <v>  -   </v>
      </c>
      <c r="J29" s="88" t="str">
        <f t="shared" si="15"/>
        <v>  -   </v>
      </c>
      <c r="K29" s="88" t="str">
        <f t="shared" si="15"/>
        <v>  -   </v>
      </c>
      <c r="P29" s="93"/>
    </row>
    <row r="30">
      <c r="A30" s="100" t="str">
        <f t="shared" si="13"/>
        <v>PERANI YANTR</v>
      </c>
      <c r="B30" s="100"/>
      <c r="C30" s="100" t="str">
        <f t="shared" si="14"/>
        <v>0</v>
      </c>
      <c r="D30" s="100">
        <v>800.0</v>
      </c>
      <c r="E30" s="88" t="str">
        <f t="shared" ref="E30:K30" si="16">$C$30*$D$30*E23</f>
        <v>  -   </v>
      </c>
      <c r="F30" s="88" t="str">
        <f t="shared" si="16"/>
        <v>  -   </v>
      </c>
      <c r="G30" s="88" t="str">
        <f t="shared" si="16"/>
        <v>  -   </v>
      </c>
      <c r="H30" s="88" t="str">
        <f t="shared" si="16"/>
        <v>  -   </v>
      </c>
      <c r="I30" s="88" t="str">
        <f t="shared" si="16"/>
        <v>  -   </v>
      </c>
      <c r="J30" s="88" t="str">
        <f t="shared" si="16"/>
        <v>  -   </v>
      </c>
      <c r="K30" s="88" t="str">
        <f t="shared" si="16"/>
        <v>  -   </v>
      </c>
      <c r="P30" s="93"/>
    </row>
    <row r="31">
      <c r="A31" s="100" t="str">
        <f t="shared" si="13"/>
        <v/>
      </c>
      <c r="B31" s="100"/>
      <c r="C31" s="100" t="str">
        <f t="shared" si="14"/>
        <v>0</v>
      </c>
      <c r="D31" s="100">
        <v>0.0</v>
      </c>
      <c r="E31" s="88" t="str">
        <f t="shared" ref="E31:K31" si="17">$C$31*$D$31*E23</f>
        <v>  -   </v>
      </c>
      <c r="F31" s="88" t="str">
        <f t="shared" si="17"/>
        <v>  -   </v>
      </c>
      <c r="G31" s="88" t="str">
        <f t="shared" si="17"/>
        <v>  -   </v>
      </c>
      <c r="H31" s="88" t="str">
        <f t="shared" si="17"/>
        <v>  -   </v>
      </c>
      <c r="I31" s="88" t="str">
        <f t="shared" si="17"/>
        <v>  -   </v>
      </c>
      <c r="J31" s="88" t="str">
        <f t="shared" si="17"/>
        <v>  -   </v>
      </c>
      <c r="K31" s="88" t="str">
        <f t="shared" si="17"/>
        <v>  -   </v>
      </c>
      <c r="P31" s="93"/>
    </row>
    <row r="32">
      <c r="A32" s="100" t="str">
        <f t="shared" si="13"/>
        <v/>
      </c>
      <c r="B32" s="100"/>
      <c r="C32" s="100" t="str">
        <f t="shared" si="14"/>
        <v>0</v>
      </c>
      <c r="D32" s="100">
        <v>0.0</v>
      </c>
      <c r="E32" s="88" t="str">
        <f t="shared" ref="E32:K32" si="18">$C$32*$D$32*E23</f>
        <v>  -   </v>
      </c>
      <c r="F32" s="88" t="str">
        <f t="shared" si="18"/>
        <v>  -   </v>
      </c>
      <c r="G32" s="88" t="str">
        <f t="shared" si="18"/>
        <v>  -   </v>
      </c>
      <c r="H32" s="88" t="str">
        <f t="shared" si="18"/>
        <v>  -   </v>
      </c>
      <c r="I32" s="88" t="str">
        <f t="shared" si="18"/>
        <v>  -   </v>
      </c>
      <c r="J32" s="88" t="str">
        <f t="shared" si="18"/>
        <v>  -   </v>
      </c>
      <c r="K32" s="88" t="str">
        <f t="shared" si="18"/>
        <v>  -   </v>
      </c>
      <c r="P32" s="93"/>
    </row>
    <row r="33">
      <c r="A33" s="100"/>
      <c r="B33" s="100"/>
      <c r="C33" s="100" t="str">
        <f t="shared" si="14"/>
        <v/>
      </c>
      <c r="D33" s="100" t="str">
        <f t="shared" ref="D33:D38" si="20">K13</f>
        <v/>
      </c>
      <c r="E33" s="88" t="str">
        <f t="shared" ref="E33:K33" si="19">$C$33*$D$33*E23</f>
        <v>  -   </v>
      </c>
      <c r="F33" s="88" t="str">
        <f t="shared" si="19"/>
        <v>  -   </v>
      </c>
      <c r="G33" s="88" t="str">
        <f t="shared" si="19"/>
        <v>  -   </v>
      </c>
      <c r="H33" s="88" t="str">
        <f t="shared" si="19"/>
        <v>  -   </v>
      </c>
      <c r="I33" s="88" t="str">
        <f t="shared" si="19"/>
        <v>  -   </v>
      </c>
      <c r="J33" s="88" t="str">
        <f t="shared" si="19"/>
        <v>  -   </v>
      </c>
      <c r="K33" s="88" t="str">
        <f t="shared" si="19"/>
        <v>  -   </v>
      </c>
      <c r="P33" s="93"/>
    </row>
    <row r="34">
      <c r="A34" s="100"/>
      <c r="B34" s="100"/>
      <c r="C34" s="100" t="str">
        <f t="shared" si="14"/>
        <v/>
      </c>
      <c r="D34" s="100" t="str">
        <f t="shared" si="20"/>
        <v/>
      </c>
      <c r="E34" s="88" t="str">
        <f t="shared" ref="E34:K34" si="21">$C$34*$D$34*E23</f>
        <v>  -   </v>
      </c>
      <c r="F34" s="88" t="str">
        <f t="shared" si="21"/>
        <v>  -   </v>
      </c>
      <c r="G34" s="88" t="str">
        <f t="shared" si="21"/>
        <v>  -   </v>
      </c>
      <c r="H34" s="88" t="str">
        <f t="shared" si="21"/>
        <v>  -   </v>
      </c>
      <c r="I34" s="88" t="str">
        <f t="shared" si="21"/>
        <v>  -   </v>
      </c>
      <c r="J34" s="88" t="str">
        <f t="shared" si="21"/>
        <v>  -   </v>
      </c>
      <c r="K34" s="88" t="str">
        <f t="shared" si="21"/>
        <v>  -   </v>
      </c>
      <c r="P34" s="93"/>
    </row>
    <row r="35">
      <c r="A35" s="100"/>
      <c r="B35" s="100"/>
      <c r="C35" s="100" t="str">
        <f t="shared" si="14"/>
        <v/>
      </c>
      <c r="D35" s="100" t="str">
        <f t="shared" si="20"/>
        <v/>
      </c>
      <c r="E35" s="88" t="str">
        <f t="shared" ref="E35:K35" si="22">$C$35*$D$35*E23</f>
        <v>  -   </v>
      </c>
      <c r="F35" s="88" t="str">
        <f t="shared" si="22"/>
        <v>  -   </v>
      </c>
      <c r="G35" s="88" t="str">
        <f t="shared" si="22"/>
        <v>  -   </v>
      </c>
      <c r="H35" s="88" t="str">
        <f t="shared" si="22"/>
        <v>  -   </v>
      </c>
      <c r="I35" s="88" t="str">
        <f t="shared" si="22"/>
        <v>  -   </v>
      </c>
      <c r="J35" s="88" t="str">
        <f t="shared" si="22"/>
        <v>  -   </v>
      </c>
      <c r="K35" s="88" t="str">
        <f t="shared" si="22"/>
        <v>  -   </v>
      </c>
      <c r="P35" s="93"/>
    </row>
    <row r="36">
      <c r="A36" s="100"/>
      <c r="B36" s="100"/>
      <c r="C36" s="100" t="str">
        <f t="shared" si="14"/>
        <v/>
      </c>
      <c r="D36" s="100" t="str">
        <f t="shared" si="20"/>
        <v/>
      </c>
      <c r="E36" s="88" t="str">
        <f t="shared" ref="E36:K36" si="23">$C$36*$D$36*E23</f>
        <v>  -   </v>
      </c>
      <c r="F36" s="88" t="str">
        <f t="shared" si="23"/>
        <v>  -   </v>
      </c>
      <c r="G36" s="88" t="str">
        <f t="shared" si="23"/>
        <v>  -   </v>
      </c>
      <c r="H36" s="88" t="str">
        <f t="shared" si="23"/>
        <v>  -   </v>
      </c>
      <c r="I36" s="88" t="str">
        <f t="shared" si="23"/>
        <v>  -   </v>
      </c>
      <c r="J36" s="88" t="str">
        <f t="shared" si="23"/>
        <v>  -   </v>
      </c>
      <c r="K36" s="88" t="str">
        <f t="shared" si="23"/>
        <v>  -   </v>
      </c>
      <c r="P36" s="93"/>
    </row>
    <row r="37">
      <c r="A37" s="100"/>
      <c r="B37" s="100"/>
      <c r="C37" s="100" t="str">
        <f t="shared" si="14"/>
        <v/>
      </c>
      <c r="D37" s="100" t="str">
        <f t="shared" si="20"/>
        <v/>
      </c>
      <c r="E37" s="88" t="str">
        <f t="shared" ref="E37:K37" si="24">$C$37*$D$37*E23</f>
        <v>  -   </v>
      </c>
      <c r="F37" s="88" t="str">
        <f t="shared" si="24"/>
        <v>  -   </v>
      </c>
      <c r="G37" s="88" t="str">
        <f t="shared" si="24"/>
        <v>  -   </v>
      </c>
      <c r="H37" s="88" t="str">
        <f t="shared" si="24"/>
        <v>  -   </v>
      </c>
      <c r="I37" s="88" t="str">
        <f t="shared" si="24"/>
        <v>  -   </v>
      </c>
      <c r="J37" s="88" t="str">
        <f t="shared" si="24"/>
        <v>  -   </v>
      </c>
      <c r="K37" s="88" t="str">
        <f t="shared" si="24"/>
        <v>  -   </v>
      </c>
      <c r="P37" s="93"/>
    </row>
    <row r="38">
      <c r="A38" s="90"/>
      <c r="B38" s="90"/>
      <c r="C38" s="100" t="str">
        <f t="shared" si="14"/>
        <v/>
      </c>
      <c r="D38" s="100" t="str">
        <f t="shared" si="20"/>
        <v/>
      </c>
      <c r="E38" s="88" t="str">
        <f t="shared" ref="E38:K38" si="25">$C$38*$D$38*E23</f>
        <v>  -   </v>
      </c>
      <c r="F38" s="88" t="str">
        <f t="shared" si="25"/>
        <v>  -   </v>
      </c>
      <c r="G38" s="88" t="str">
        <f t="shared" si="25"/>
        <v>  -   </v>
      </c>
      <c r="H38" s="88" t="str">
        <f t="shared" si="25"/>
        <v>  -   </v>
      </c>
      <c r="I38" s="88" t="str">
        <f t="shared" si="25"/>
        <v>  -   </v>
      </c>
      <c r="J38" s="88" t="str">
        <f t="shared" si="25"/>
        <v>  -   </v>
      </c>
      <c r="K38" s="88" t="str">
        <f t="shared" si="25"/>
        <v>  -   </v>
      </c>
      <c r="P38" s="93"/>
    </row>
    <row r="39">
      <c r="A39" s="90" t="s">
        <v>455</v>
      </c>
      <c r="B39" s="90"/>
      <c r="C39" s="90"/>
      <c r="D39" s="90"/>
      <c r="E39" s="88" t="str">
        <f t="shared" ref="E39:K39" si="26">SUM(E28:E38)</f>
        <v>  -   </v>
      </c>
      <c r="F39" s="88" t="str">
        <f t="shared" si="26"/>
        <v>  -   </v>
      </c>
      <c r="G39" s="88" t="str">
        <f t="shared" si="26"/>
        <v>  -   </v>
      </c>
      <c r="H39" s="88" t="str">
        <f t="shared" si="26"/>
        <v>  -   </v>
      </c>
      <c r="I39" s="88" t="str">
        <f t="shared" si="26"/>
        <v>  -   </v>
      </c>
      <c r="J39" s="88" t="str">
        <f t="shared" si="26"/>
        <v>  -   </v>
      </c>
      <c r="K39" s="88" t="str">
        <f t="shared" si="26"/>
        <v>  -   </v>
      </c>
      <c r="P39" s="93"/>
    </row>
    <row r="40">
      <c r="A40" s="87"/>
      <c r="B40" s="87"/>
      <c r="C40" s="87"/>
      <c r="D40" s="87"/>
      <c r="E40" s="88"/>
      <c r="F40" s="88"/>
      <c r="G40" s="88"/>
      <c r="H40" s="88"/>
      <c r="I40" s="88"/>
      <c r="J40" s="88"/>
      <c r="K40" s="88"/>
      <c r="P40" s="93"/>
    </row>
    <row r="41">
      <c r="A41" s="90" t="s">
        <v>622</v>
      </c>
      <c r="B41" s="90"/>
      <c r="C41" s="90"/>
      <c r="D41" s="90"/>
      <c r="E41" s="88"/>
      <c r="F41" s="88"/>
      <c r="G41" s="88"/>
      <c r="H41" s="88"/>
      <c r="I41" s="88"/>
      <c r="J41" s="88"/>
      <c r="K41" s="88"/>
      <c r="P41" s="93"/>
    </row>
    <row r="42">
      <c r="A42" s="90" t="s">
        <v>693</v>
      </c>
      <c r="B42" s="90"/>
      <c r="C42" s="90"/>
      <c r="D42" s="90"/>
      <c r="E42" s="88"/>
      <c r="F42" s="88"/>
      <c r="G42" s="88"/>
      <c r="H42" s="88"/>
      <c r="I42" s="88"/>
      <c r="J42" s="88"/>
      <c r="K42" s="88"/>
    </row>
    <row r="43">
      <c r="A43" s="87" t="s">
        <v>694</v>
      </c>
      <c r="B43" s="87" t="s">
        <v>695</v>
      </c>
      <c r="C43" s="87" t="str">
        <f>SUM(J8:J17)</f>
        <v>0</v>
      </c>
      <c r="D43" s="157"/>
      <c r="E43" s="88" t="str">
        <f t="shared" ref="E43:K43" si="27">$C$43*$D$43*E23</f>
        <v>  -   </v>
      </c>
      <c r="F43" s="88" t="str">
        <f t="shared" si="27"/>
        <v>  -   </v>
      </c>
      <c r="G43" s="88" t="str">
        <f t="shared" si="27"/>
        <v>  -   </v>
      </c>
      <c r="H43" s="88" t="str">
        <f t="shared" si="27"/>
        <v>  -   </v>
      </c>
      <c r="I43" s="88" t="str">
        <f t="shared" si="27"/>
        <v>  -   </v>
      </c>
      <c r="J43" s="88" t="str">
        <f t="shared" si="27"/>
        <v>  -   </v>
      </c>
      <c r="K43" s="88" t="str">
        <f t="shared" si="27"/>
        <v>  -   </v>
      </c>
    </row>
    <row r="44">
      <c r="A44" s="87" t="s">
        <v>696</v>
      </c>
      <c r="B44" s="87" t="s">
        <v>697</v>
      </c>
      <c r="C44" s="87" t="str">
        <f>SUM(M8:M17)</f>
        <v>0</v>
      </c>
      <c r="D44" s="157"/>
      <c r="E44" s="88" t="str">
        <f t="shared" ref="E44:K44" si="28">$C$44*$D$44*E23</f>
        <v>  -   </v>
      </c>
      <c r="F44" s="88" t="str">
        <f t="shared" si="28"/>
        <v>  -   </v>
      </c>
      <c r="G44" s="88" t="str">
        <f t="shared" si="28"/>
        <v>  -   </v>
      </c>
      <c r="H44" s="88" t="str">
        <f t="shared" si="28"/>
        <v>  -   </v>
      </c>
      <c r="I44" s="88" t="str">
        <f t="shared" si="28"/>
        <v>  -   </v>
      </c>
      <c r="J44" s="88" t="str">
        <f t="shared" si="28"/>
        <v>  -   </v>
      </c>
      <c r="K44" s="88" t="str">
        <f t="shared" si="28"/>
        <v>  -   </v>
      </c>
    </row>
    <row r="45">
      <c r="A45" s="87"/>
      <c r="B45" s="87"/>
      <c r="C45" s="157"/>
      <c r="D45" s="157"/>
      <c r="E45" s="88"/>
      <c r="F45" s="88"/>
      <c r="G45" s="88"/>
      <c r="H45" s="88"/>
      <c r="I45" s="88"/>
      <c r="J45" s="88"/>
      <c r="K45" s="88"/>
    </row>
    <row r="46">
      <c r="A46" s="87"/>
      <c r="B46" s="87"/>
      <c r="C46" s="157"/>
      <c r="D46" s="157"/>
      <c r="E46" s="88"/>
      <c r="F46" s="88"/>
      <c r="G46" s="88"/>
      <c r="H46" s="88"/>
      <c r="I46" s="88"/>
      <c r="J46" s="88"/>
      <c r="K46" s="88"/>
    </row>
    <row r="47">
      <c r="A47" s="87"/>
      <c r="B47" s="87"/>
      <c r="C47" s="157"/>
      <c r="D47" s="157"/>
      <c r="E47" s="88"/>
      <c r="F47" s="88"/>
      <c r="G47" s="88"/>
      <c r="H47" s="88"/>
      <c r="I47" s="88"/>
      <c r="J47" s="88"/>
      <c r="K47" s="88"/>
    </row>
    <row r="48">
      <c r="A48" s="87"/>
      <c r="B48" s="87"/>
      <c r="C48" s="157"/>
      <c r="D48" s="157"/>
      <c r="E48" s="88"/>
      <c r="F48" s="88"/>
      <c r="G48" s="88"/>
      <c r="H48" s="88"/>
      <c r="I48" s="88"/>
      <c r="J48" s="88"/>
      <c r="K48" s="88"/>
    </row>
    <row r="49">
      <c r="A49" s="90" t="s">
        <v>456</v>
      </c>
      <c r="B49" s="90"/>
      <c r="C49" s="162"/>
      <c r="D49" s="162"/>
      <c r="E49" s="91" t="str">
        <f t="shared" ref="E49:K49" si="29">SUM(E43:E48)</f>
        <v>  -   </v>
      </c>
      <c r="F49" s="91" t="str">
        <f t="shared" si="29"/>
        <v>  -   </v>
      </c>
      <c r="G49" s="91" t="str">
        <f t="shared" si="29"/>
        <v>  -   </v>
      </c>
      <c r="H49" s="91" t="str">
        <f t="shared" si="29"/>
        <v>  -   </v>
      </c>
      <c r="I49" s="91" t="str">
        <f t="shared" si="29"/>
        <v>  -   </v>
      </c>
      <c r="J49" s="91" t="str">
        <f t="shared" si="29"/>
        <v>  -   </v>
      </c>
      <c r="K49" s="91" t="str">
        <f t="shared" si="29"/>
        <v>  -   </v>
      </c>
    </row>
    <row r="50">
      <c r="A50" s="90"/>
      <c r="B50" s="90"/>
      <c r="C50" s="162"/>
      <c r="D50" s="162"/>
      <c r="E50" s="91"/>
      <c r="F50" s="91"/>
      <c r="G50" s="91"/>
      <c r="H50" s="91"/>
      <c r="I50" s="91"/>
      <c r="J50" s="91"/>
      <c r="K50" s="91"/>
    </row>
    <row r="51">
      <c r="A51" s="382" t="s">
        <v>457</v>
      </c>
      <c r="B51" s="382"/>
      <c r="C51" s="387"/>
      <c r="D51" s="387"/>
      <c r="E51" s="88"/>
      <c r="F51" s="88"/>
      <c r="G51" s="88"/>
      <c r="H51" s="88"/>
      <c r="I51" s="88"/>
      <c r="J51" s="88"/>
      <c r="K51" s="88"/>
    </row>
    <row r="52">
      <c r="A52" s="100" t="s">
        <v>698</v>
      </c>
      <c r="B52" s="87" t="s">
        <v>260</v>
      </c>
      <c r="C52" s="387">
        <v>1.0</v>
      </c>
      <c r="D52" s="388"/>
      <c r="E52" s="88" t="str">
        <f t="shared" ref="E52:K52" si="30">$C$52*$D$52*12*E23</f>
        <v>  -   </v>
      </c>
      <c r="F52" s="88" t="str">
        <f t="shared" si="30"/>
        <v>  -   </v>
      </c>
      <c r="G52" s="88" t="str">
        <f t="shared" si="30"/>
        <v>  -   </v>
      </c>
      <c r="H52" s="88" t="str">
        <f t="shared" si="30"/>
        <v>  -   </v>
      </c>
      <c r="I52" s="88" t="str">
        <f t="shared" si="30"/>
        <v>  -   </v>
      </c>
      <c r="J52" s="88" t="str">
        <f t="shared" si="30"/>
        <v>  -   </v>
      </c>
      <c r="K52" s="88" t="str">
        <f t="shared" si="30"/>
        <v>  -   </v>
      </c>
    </row>
    <row r="53">
      <c r="A53" s="100"/>
      <c r="B53" s="100"/>
      <c r="C53" s="387"/>
      <c r="D53" s="388"/>
      <c r="E53" s="88"/>
      <c r="F53" s="88"/>
      <c r="G53" s="88"/>
      <c r="H53" s="88"/>
      <c r="I53" s="88"/>
      <c r="J53" s="88"/>
      <c r="K53" s="88"/>
    </row>
    <row r="54">
      <c r="A54" s="100"/>
      <c r="B54" s="100"/>
      <c r="C54" s="387"/>
      <c r="D54" s="388"/>
      <c r="E54" s="88"/>
      <c r="F54" s="88"/>
      <c r="G54" s="88"/>
      <c r="H54" s="88"/>
      <c r="I54" s="88"/>
      <c r="J54" s="88"/>
      <c r="K54" s="88"/>
    </row>
    <row r="55">
      <c r="A55" s="100"/>
      <c r="B55" s="100"/>
      <c r="C55" s="387"/>
      <c r="D55" s="388"/>
      <c r="E55" s="88"/>
      <c r="F55" s="88"/>
      <c r="G55" s="88"/>
      <c r="H55" s="88"/>
      <c r="I55" s="88"/>
      <c r="J55" s="88"/>
      <c r="K55" s="88"/>
    </row>
    <row r="56">
      <c r="A56" s="90" t="s">
        <v>459</v>
      </c>
      <c r="B56" s="90"/>
      <c r="C56" s="90"/>
      <c r="D56" s="90"/>
      <c r="E56" s="91" t="str">
        <f t="shared" ref="E56:K56" si="31">SUM(E52:E55)</f>
        <v>  -   </v>
      </c>
      <c r="F56" s="91" t="str">
        <f t="shared" si="31"/>
        <v>  -   </v>
      </c>
      <c r="G56" s="91" t="str">
        <f t="shared" si="31"/>
        <v>  -   </v>
      </c>
      <c r="H56" s="91" t="str">
        <f t="shared" si="31"/>
        <v>  -   </v>
      </c>
      <c r="I56" s="91" t="str">
        <f t="shared" si="31"/>
        <v>  -   </v>
      </c>
      <c r="J56" s="91" t="str">
        <f t="shared" si="31"/>
        <v>  -   </v>
      </c>
      <c r="K56" s="91" t="str">
        <f t="shared" si="31"/>
        <v>  -   </v>
      </c>
    </row>
    <row r="57">
      <c r="A57" s="90" t="s">
        <v>632</v>
      </c>
      <c r="B57" s="90"/>
      <c r="C57" s="90"/>
      <c r="D57" s="90"/>
      <c r="E57" s="91" t="str">
        <f t="shared" ref="E57:K57" si="32">E49+E56</f>
        <v>  -   </v>
      </c>
      <c r="F57" s="91" t="str">
        <f t="shared" si="32"/>
        <v>  -   </v>
      </c>
      <c r="G57" s="91" t="str">
        <f t="shared" si="32"/>
        <v>  -   </v>
      </c>
      <c r="H57" s="91" t="str">
        <f t="shared" si="32"/>
        <v>  -   </v>
      </c>
      <c r="I57" s="91" t="str">
        <f t="shared" si="32"/>
        <v>  -   </v>
      </c>
      <c r="J57" s="91" t="str">
        <f t="shared" si="32"/>
        <v>  -   </v>
      </c>
      <c r="K57" s="91" t="str">
        <f t="shared" si="32"/>
        <v>  -   </v>
      </c>
    </row>
    <row r="58">
      <c r="A58" s="87"/>
      <c r="B58" s="87"/>
      <c r="C58" s="87"/>
      <c r="D58" s="87"/>
      <c r="E58" s="88"/>
      <c r="F58" s="88"/>
      <c r="G58" s="88"/>
      <c r="H58" s="88"/>
      <c r="I58" s="88"/>
      <c r="J58" s="88"/>
      <c r="K58" s="88"/>
    </row>
    <row r="59">
      <c r="A59" s="90" t="s">
        <v>699</v>
      </c>
      <c r="B59" s="90"/>
      <c r="C59" s="90"/>
      <c r="D59" s="90"/>
      <c r="E59" s="91" t="str">
        <f t="shared" ref="E59:K59" si="33">E39-E57</f>
        <v>  -   </v>
      </c>
      <c r="F59" s="91" t="str">
        <f t="shared" si="33"/>
        <v>  -   </v>
      </c>
      <c r="G59" s="91" t="str">
        <f t="shared" si="33"/>
        <v>  -   </v>
      </c>
      <c r="H59" s="91" t="str">
        <f t="shared" si="33"/>
        <v>  -   </v>
      </c>
      <c r="I59" s="91" t="str">
        <f t="shared" si="33"/>
        <v>  -   </v>
      </c>
      <c r="J59" s="91" t="str">
        <f t="shared" si="33"/>
        <v>  -   </v>
      </c>
      <c r="K59" s="91" t="str">
        <f t="shared" si="33"/>
        <v>  -   </v>
      </c>
    </row>
    <row r="60">
      <c r="A60" s="94"/>
      <c r="B60" s="94"/>
      <c r="C60" s="94"/>
      <c r="D60" s="94"/>
      <c r="E60" s="389"/>
      <c r="F60" s="389"/>
      <c r="G60" s="389"/>
      <c r="H60" s="389"/>
      <c r="I60" s="389"/>
      <c r="J60" s="389"/>
      <c r="K60" s="389"/>
    </row>
    <row r="61">
      <c r="A61" s="93"/>
      <c r="B61" s="93"/>
      <c r="C61" s="94"/>
      <c r="D61" s="94"/>
      <c r="E61" s="389"/>
      <c r="F61" s="389"/>
      <c r="G61" s="389"/>
      <c r="H61" s="389"/>
      <c r="I61" s="389"/>
      <c r="J61" s="389"/>
      <c r="K61" s="389"/>
    </row>
    <row r="62">
      <c r="A62" s="45" t="s">
        <v>700</v>
      </c>
    </row>
    <row r="65">
      <c r="A65" t="s">
        <v>413</v>
      </c>
    </row>
    <row r="66">
      <c r="A66">
        <v>1.0</v>
      </c>
      <c r="B66" t="s">
        <v>636</v>
      </c>
    </row>
    <row r="67">
      <c r="A67">
        <v>2.0</v>
      </c>
      <c r="B67" t="s">
        <v>637</v>
      </c>
    </row>
    <row r="68">
      <c r="A68">
        <v>3.0</v>
      </c>
      <c r="B68" s="93" t="s">
        <v>638</v>
      </c>
    </row>
  </sheetData>
  <mergeCells count="4">
    <mergeCell ref="A21:K21"/>
    <mergeCell ref="A3:L3"/>
    <mergeCell ref="A62:L62"/>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0.57"/>
    <col customWidth="1" min="4" max="4" width="13.43"/>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1"/>
    <row r="2">
      <c r="A2" s="25" t="s">
        <v>701</v>
      </c>
    </row>
    <row r="3"/>
    <row r="4">
      <c r="A4" s="93"/>
      <c r="B4" s="93"/>
      <c r="C4" s="93"/>
      <c r="D4" s="93"/>
      <c r="E4" s="93"/>
      <c r="F4" s="93"/>
      <c r="G4" s="93"/>
      <c r="H4" s="93"/>
      <c r="I4" s="93"/>
    </row>
    <row r="5">
      <c r="A5" s="93"/>
      <c r="B5" s="93"/>
      <c r="C5" s="93"/>
      <c r="D5" s="93"/>
      <c r="E5" s="93"/>
      <c r="F5" s="93"/>
      <c r="G5" s="93"/>
      <c r="H5" s="93"/>
      <c r="I5" s="93"/>
    </row>
    <row r="6">
      <c r="A6" s="197" t="s">
        <v>82</v>
      </c>
      <c r="B6" s="197"/>
      <c r="C6" s="198" t="s">
        <v>137</v>
      </c>
      <c r="D6" s="198" t="s">
        <v>138</v>
      </c>
      <c r="E6" s="198" t="s">
        <v>139</v>
      </c>
      <c r="F6" s="198" t="s">
        <v>140</v>
      </c>
      <c r="G6" s="198" t="s">
        <v>141</v>
      </c>
      <c r="H6" s="198" t="s">
        <v>142</v>
      </c>
      <c r="I6" s="198" t="s">
        <v>143</v>
      </c>
    </row>
    <row r="7">
      <c r="A7" s="90" t="s">
        <v>702</v>
      </c>
      <c r="B7" s="87"/>
      <c r="C7" s="87"/>
      <c r="D7" s="87"/>
      <c r="E7" s="87"/>
      <c r="F7" s="87"/>
      <c r="G7" s="87"/>
      <c r="H7" s="87"/>
      <c r="I7" s="87"/>
    </row>
    <row r="8">
      <c r="A8" s="90" t="s">
        <v>703</v>
      </c>
      <c r="B8" s="360"/>
      <c r="C8" s="390"/>
      <c r="D8" s="390"/>
      <c r="E8" s="390"/>
      <c r="F8" s="390"/>
      <c r="G8" s="390"/>
      <c r="H8" s="390"/>
      <c r="I8" s="390"/>
    </row>
    <row r="9">
      <c r="A9" s="87" t="str">
        <f>'10.Grain Production details'!A92</f>
        <v>Soybean</v>
      </c>
      <c r="B9" s="360"/>
      <c r="C9" s="390" t="str">
        <f>'10.Grain Production details'!B92</f>
        <v>  -   </v>
      </c>
      <c r="D9" s="390" t="str">
        <f>'10.Grain Production details'!C92</f>
        <v>  -   </v>
      </c>
      <c r="E9" s="390" t="str">
        <f>'10.Grain Production details'!D92</f>
        <v>  -   </v>
      </c>
      <c r="F9" s="390" t="str">
        <f>'10.Grain Production details'!E92</f>
        <v>  -   </v>
      </c>
      <c r="G9" s="390" t="str">
        <f>'10.Grain Production details'!F92</f>
        <v>  -   </v>
      </c>
      <c r="H9" s="390" t="str">
        <f>'10.Grain Production details'!G92</f>
        <v>  -   </v>
      </c>
      <c r="I9" s="390" t="str">
        <f>'10.Grain Production details'!H92</f>
        <v>  -   </v>
      </c>
    </row>
    <row r="10">
      <c r="A10" s="87" t="str">
        <f>'10.Grain Production details'!A93</f>
        <v>Red Gram/Tur</v>
      </c>
      <c r="B10" s="360"/>
      <c r="C10" s="390" t="str">
        <f>'10.Grain Production details'!B93</f>
        <v>  -   </v>
      </c>
      <c r="D10" s="390" t="str">
        <f>'10.Grain Production details'!C93</f>
        <v>  -   </v>
      </c>
      <c r="E10" s="390" t="str">
        <f>'10.Grain Production details'!D93</f>
        <v>  -   </v>
      </c>
      <c r="F10" s="390" t="str">
        <f>'10.Grain Production details'!E93</f>
        <v>  -   </v>
      </c>
      <c r="G10" s="390" t="str">
        <f>'10.Grain Production details'!F93</f>
        <v>  -   </v>
      </c>
      <c r="H10" s="390" t="str">
        <f>'10.Grain Production details'!G93</f>
        <v>  -   </v>
      </c>
      <c r="I10" s="390" t="str">
        <f>'10.Grain Production details'!H93</f>
        <v>  -   </v>
      </c>
    </row>
    <row r="11">
      <c r="A11" s="87" t="str">
        <f>'10.Grain Production details'!A94</f>
        <v>Paddy/Rice</v>
      </c>
      <c r="B11" s="360"/>
      <c r="C11" s="390" t="str">
        <f>'10.Grain Production details'!B94</f>
        <v>  -   </v>
      </c>
      <c r="D11" s="390" t="str">
        <f>'10.Grain Production details'!C94</f>
        <v>  -   </v>
      </c>
      <c r="E11" s="390" t="str">
        <f>'10.Grain Production details'!D94</f>
        <v>  -   </v>
      </c>
      <c r="F11" s="390" t="str">
        <f>'10.Grain Production details'!E94</f>
        <v>  -   </v>
      </c>
      <c r="G11" s="390" t="str">
        <f>'10.Grain Production details'!F94</f>
        <v>  -   </v>
      </c>
      <c r="H11" s="390" t="str">
        <f>'10.Grain Production details'!G94</f>
        <v>  -   </v>
      </c>
      <c r="I11" s="390" t="str">
        <f>'10.Grain Production details'!H94</f>
        <v>  -   </v>
      </c>
    </row>
    <row r="12">
      <c r="A12" s="87" t="str">
        <f>'10.Grain Production details'!A95</f>
        <v>Green Gram/ Moong</v>
      </c>
      <c r="B12" s="360"/>
      <c r="C12" s="390" t="str">
        <f>'10.Grain Production details'!B95</f>
        <v>  -   </v>
      </c>
      <c r="D12" s="390" t="str">
        <f>'10.Grain Production details'!C95</f>
        <v>  -   </v>
      </c>
      <c r="E12" s="390" t="str">
        <f>'10.Grain Production details'!D95</f>
        <v>  -   </v>
      </c>
      <c r="F12" s="390" t="str">
        <f>'10.Grain Production details'!E95</f>
        <v>  -   </v>
      </c>
      <c r="G12" s="390" t="str">
        <f>'10.Grain Production details'!F95</f>
        <v>  -   </v>
      </c>
      <c r="H12" s="390" t="str">
        <f>'10.Grain Production details'!G95</f>
        <v>  -   </v>
      </c>
      <c r="I12" s="390" t="str">
        <f>'10.Grain Production details'!H95</f>
        <v>  -   </v>
      </c>
    </row>
    <row r="13">
      <c r="A13" s="87" t="str">
        <f>'10.Grain Production details'!A96</f>
        <v>Maize</v>
      </c>
      <c r="B13" s="360"/>
      <c r="C13" s="390" t="str">
        <f>'10.Grain Production details'!B96</f>
        <v>  -   </v>
      </c>
      <c r="D13" s="390" t="str">
        <f>'10.Grain Production details'!C96</f>
        <v>  -   </v>
      </c>
      <c r="E13" s="390" t="str">
        <f>'10.Grain Production details'!D96</f>
        <v>  -   </v>
      </c>
      <c r="F13" s="390" t="str">
        <f>'10.Grain Production details'!E96</f>
        <v>  -   </v>
      </c>
      <c r="G13" s="390" t="str">
        <f>'10.Grain Production details'!F96</f>
        <v>  -   </v>
      </c>
      <c r="H13" s="390" t="str">
        <f>'10.Grain Production details'!G96</f>
        <v>  -   </v>
      </c>
      <c r="I13" s="390" t="str">
        <f>'10.Grain Production details'!H96</f>
        <v>  -   </v>
      </c>
    </row>
    <row r="14">
      <c r="A14" s="87" t="str">
        <f>'10.Grain Production details'!A97</f>
        <v>Black Gram/Udid</v>
      </c>
      <c r="B14" s="360"/>
      <c r="C14" s="390" t="str">
        <f>'10.Grain Production details'!B97</f>
        <v>  -   </v>
      </c>
      <c r="D14" s="390" t="str">
        <f>'10.Grain Production details'!C97</f>
        <v>  -   </v>
      </c>
      <c r="E14" s="390" t="str">
        <f>'10.Grain Production details'!D97</f>
        <v>  -   </v>
      </c>
      <c r="F14" s="390" t="str">
        <f>'10.Grain Production details'!E97</f>
        <v>  -   </v>
      </c>
      <c r="G14" s="390" t="str">
        <f>'10.Grain Production details'!F97</f>
        <v>  -   </v>
      </c>
      <c r="H14" s="390" t="str">
        <f>'10.Grain Production details'!G97</f>
        <v>  -   </v>
      </c>
      <c r="I14" s="390" t="str">
        <f>'10.Grain Production details'!H97</f>
        <v>  -   </v>
      </c>
    </row>
    <row r="15">
      <c r="A15" s="87" t="str">
        <f>'10.Grain Production details'!A98</f>
        <v>Bajra</v>
      </c>
      <c r="B15" s="360"/>
      <c r="C15" s="390" t="str">
        <f>'10.Grain Production details'!B98</f>
        <v>  -   </v>
      </c>
      <c r="D15" s="390" t="str">
        <f>'10.Grain Production details'!C98</f>
        <v>  -   </v>
      </c>
      <c r="E15" s="390" t="str">
        <f>'10.Grain Production details'!D98</f>
        <v>  -   </v>
      </c>
      <c r="F15" s="390" t="str">
        <f>'10.Grain Production details'!E98</f>
        <v>  -   </v>
      </c>
      <c r="G15" s="390" t="str">
        <f>'10.Grain Production details'!F98</f>
        <v>  -   </v>
      </c>
      <c r="H15" s="390" t="str">
        <f>'10.Grain Production details'!G98</f>
        <v>  -   </v>
      </c>
      <c r="I15" s="390" t="str">
        <f>'10.Grain Production details'!H98</f>
        <v>  -   </v>
      </c>
    </row>
    <row r="16">
      <c r="A16" s="87" t="str">
        <f>'10.Grain Production details'!A99</f>
        <v>Jawar</v>
      </c>
      <c r="B16" s="360"/>
      <c r="C16" s="390" t="str">
        <f>'10.Grain Production details'!B99</f>
        <v>  -   </v>
      </c>
      <c r="D16" s="390" t="str">
        <f>'10.Grain Production details'!C99</f>
        <v>  -   </v>
      </c>
      <c r="E16" s="390" t="str">
        <f>'10.Grain Production details'!D99</f>
        <v>  -   </v>
      </c>
      <c r="F16" s="390" t="str">
        <f>'10.Grain Production details'!E99</f>
        <v>  -   </v>
      </c>
      <c r="G16" s="390" t="str">
        <f>'10.Grain Production details'!F99</f>
        <v>  -   </v>
      </c>
      <c r="H16" s="390" t="str">
        <f>'10.Grain Production details'!G99</f>
        <v>  -   </v>
      </c>
      <c r="I16" s="390" t="str">
        <f>'10.Grain Production details'!H99</f>
        <v>  -   </v>
      </c>
    </row>
    <row r="17">
      <c r="A17" s="90" t="s">
        <v>704</v>
      </c>
      <c r="B17" s="360"/>
      <c r="C17" s="390"/>
      <c r="D17" s="390"/>
      <c r="E17" s="390"/>
      <c r="F17" s="390"/>
      <c r="G17" s="390"/>
      <c r="H17" s="390"/>
      <c r="I17" s="390"/>
    </row>
    <row r="18">
      <c r="A18" s="87" t="str">
        <f>'10.Grain Production details'!A101</f>
        <v>Wheat</v>
      </c>
      <c r="B18" s="360"/>
      <c r="C18" s="390" t="str">
        <f>'10.Grain Production details'!B101</f>
        <v>  -   </v>
      </c>
      <c r="D18" s="390" t="str">
        <f>'10.Grain Production details'!C101</f>
        <v>  -   </v>
      </c>
      <c r="E18" s="390" t="str">
        <f>'10.Grain Production details'!D101</f>
        <v>  -   </v>
      </c>
      <c r="F18" s="390" t="str">
        <f>'10.Grain Production details'!E101</f>
        <v>  -   </v>
      </c>
      <c r="G18" s="390" t="str">
        <f>'10.Grain Production details'!F101</f>
        <v>  -   </v>
      </c>
      <c r="H18" s="390" t="str">
        <f>'10.Grain Production details'!G101</f>
        <v>  -   </v>
      </c>
      <c r="I18" s="390" t="str">
        <f>'10.Grain Production details'!H101</f>
        <v>  -   </v>
      </c>
    </row>
    <row r="19">
      <c r="A19" s="87" t="str">
        <f>'10.Grain Production details'!A102</f>
        <v>Bengal Gram/Channa</v>
      </c>
      <c r="B19" s="360"/>
      <c r="C19" s="390" t="str">
        <f>'10.Grain Production details'!B102</f>
        <v>  -   </v>
      </c>
      <c r="D19" s="390" t="str">
        <f>'10.Grain Production details'!C102</f>
        <v>  -   </v>
      </c>
      <c r="E19" s="390" t="str">
        <f>'10.Grain Production details'!D102</f>
        <v>  -   </v>
      </c>
      <c r="F19" s="390" t="str">
        <f>'10.Grain Production details'!E102</f>
        <v>  -   </v>
      </c>
      <c r="G19" s="390" t="str">
        <f>'10.Grain Production details'!F102</f>
        <v>  -   </v>
      </c>
      <c r="H19" s="390" t="str">
        <f>'10.Grain Production details'!G102</f>
        <v>  -   </v>
      </c>
      <c r="I19" s="390" t="str">
        <f>'10.Grain Production details'!H102</f>
        <v>  -   </v>
      </c>
    </row>
    <row r="20">
      <c r="A20" s="87" t="str">
        <f>'10.Grain Production details'!A103</f>
        <v>Jawar</v>
      </c>
      <c r="B20" s="360"/>
      <c r="C20" s="390" t="str">
        <f>'10.Grain Production details'!B103</f>
        <v>  -   </v>
      </c>
      <c r="D20" s="390" t="str">
        <f>'10.Grain Production details'!C103</f>
        <v>  -   </v>
      </c>
      <c r="E20" s="390" t="str">
        <f>'10.Grain Production details'!D103</f>
        <v>  -   </v>
      </c>
      <c r="F20" s="390" t="str">
        <f>'10.Grain Production details'!E103</f>
        <v>  -   </v>
      </c>
      <c r="G20" s="390" t="str">
        <f>'10.Grain Production details'!F103</f>
        <v>  -   </v>
      </c>
      <c r="H20" s="390" t="str">
        <f>'10.Grain Production details'!G103</f>
        <v>  -   </v>
      </c>
      <c r="I20" s="390" t="str">
        <f>'10.Grain Production details'!H103</f>
        <v>  -   </v>
      </c>
    </row>
    <row r="21">
      <c r="A21" s="87" t="str">
        <f>'10.Grain Production details'!A104</f>
        <v>Maize</v>
      </c>
      <c r="B21" s="360"/>
      <c r="C21" s="390" t="str">
        <f>'10.Grain Production details'!B104</f>
        <v>  -   </v>
      </c>
      <c r="D21" s="390" t="str">
        <f>'10.Grain Production details'!C104</f>
        <v>  -   </v>
      </c>
      <c r="E21" s="390" t="str">
        <f>'10.Grain Production details'!D104</f>
        <v>  -   </v>
      </c>
      <c r="F21" s="390" t="str">
        <f>'10.Grain Production details'!E104</f>
        <v>  -   </v>
      </c>
      <c r="G21" s="390" t="str">
        <f>'10.Grain Production details'!F104</f>
        <v>  -   </v>
      </c>
      <c r="H21" s="390" t="str">
        <f>'10.Grain Production details'!G104</f>
        <v>  -   </v>
      </c>
      <c r="I21" s="390" t="str">
        <f>'10.Grain Production details'!H104</f>
        <v>  -   </v>
      </c>
    </row>
    <row r="22">
      <c r="A22" s="87" t="str">
        <f>'10.Grain Production details'!A105</f>
        <v>Safflower</v>
      </c>
      <c r="B22" s="360"/>
      <c r="C22" s="390" t="str">
        <f>'10.Grain Production details'!B105</f>
        <v>  -   </v>
      </c>
      <c r="D22" s="390" t="str">
        <f>'10.Grain Production details'!C105</f>
        <v>  -   </v>
      </c>
      <c r="E22" s="390" t="str">
        <f>'10.Grain Production details'!D105</f>
        <v>  -   </v>
      </c>
      <c r="F22" s="390" t="str">
        <f>'10.Grain Production details'!E105</f>
        <v>  -   </v>
      </c>
      <c r="G22" s="390" t="str">
        <f>'10.Grain Production details'!F105</f>
        <v>  -   </v>
      </c>
      <c r="H22" s="390" t="str">
        <f>'10.Grain Production details'!G105</f>
        <v>  -   </v>
      </c>
      <c r="I22" s="390" t="str">
        <f>'10.Grain Production details'!H105</f>
        <v>  -   </v>
      </c>
    </row>
    <row r="23">
      <c r="A23" s="87" t="str">
        <f>'10.Grain Production details'!A106</f>
        <v/>
      </c>
      <c r="B23" s="360"/>
      <c r="C23" s="390" t="str">
        <f>'10.Grain Production details'!B106</f>
        <v>  -   </v>
      </c>
      <c r="D23" s="390" t="str">
        <f>'10.Grain Production details'!C106</f>
        <v>  -   </v>
      </c>
      <c r="E23" s="390" t="str">
        <f>'10.Grain Production details'!D106</f>
        <v>  -   </v>
      </c>
      <c r="F23" s="390" t="str">
        <f>'10.Grain Production details'!E106</f>
        <v>  -   </v>
      </c>
      <c r="G23" s="390" t="str">
        <f>'10.Grain Production details'!F106</f>
        <v>  -   </v>
      </c>
      <c r="H23" s="390" t="str">
        <f>'10.Grain Production details'!G106</f>
        <v>  -   </v>
      </c>
      <c r="I23" s="390" t="str">
        <f>'10.Grain Production details'!H106</f>
        <v>  -   </v>
      </c>
    </row>
    <row r="24">
      <c r="A24" s="87" t="str">
        <f>'10.Grain Production details'!A107</f>
        <v/>
      </c>
      <c r="B24" s="360"/>
      <c r="C24" s="390" t="str">
        <f>'10.Grain Production details'!B107</f>
        <v>  -   </v>
      </c>
      <c r="D24" s="390" t="str">
        <f>'10.Grain Production details'!C107</f>
        <v>  -   </v>
      </c>
      <c r="E24" s="390" t="str">
        <f>'10.Grain Production details'!D107</f>
        <v>  -   </v>
      </c>
      <c r="F24" s="390" t="str">
        <f>'10.Grain Production details'!E107</f>
        <v>  -   </v>
      </c>
      <c r="G24" s="390" t="str">
        <f>'10.Grain Production details'!F107</f>
        <v>  -   </v>
      </c>
      <c r="H24" s="390" t="str">
        <f>'10.Grain Production details'!G107</f>
        <v>  -   </v>
      </c>
      <c r="I24" s="390" t="str">
        <f>'10.Grain Production details'!H107</f>
        <v>  -   </v>
      </c>
    </row>
    <row r="25">
      <c r="A25" s="87" t="str">
        <f>'10.Grain Production details'!A108</f>
        <v/>
      </c>
      <c r="B25" s="360"/>
      <c r="C25" s="390" t="str">
        <f>'10.Grain Production details'!B108</f>
        <v>  -   </v>
      </c>
      <c r="D25" s="390" t="str">
        <f>'10.Grain Production details'!C108</f>
        <v>  -   </v>
      </c>
      <c r="E25" s="390" t="str">
        <f>'10.Grain Production details'!D108</f>
        <v>  -   </v>
      </c>
      <c r="F25" s="390" t="str">
        <f>'10.Grain Production details'!E108</f>
        <v>  -   </v>
      </c>
      <c r="G25" s="390" t="str">
        <f>'10.Grain Production details'!F108</f>
        <v>  -   </v>
      </c>
      <c r="H25" s="390" t="str">
        <f>'10.Grain Production details'!G108</f>
        <v>  -   </v>
      </c>
      <c r="I25" s="390" t="str">
        <f>'10.Grain Production details'!H108</f>
        <v>  -   </v>
      </c>
    </row>
    <row r="26">
      <c r="A26" s="90" t="str">
        <f>'10.Grain Production details'!A33</f>
        <v>Summer</v>
      </c>
      <c r="B26" s="360"/>
      <c r="C26" s="390"/>
      <c r="D26" s="390"/>
      <c r="E26" s="390"/>
      <c r="F26" s="390"/>
      <c r="G26" s="390"/>
      <c r="H26" s="390"/>
      <c r="I26" s="390"/>
    </row>
    <row r="27">
      <c r="A27" s="87" t="str">
        <f>'10.Grain Production details'!A109</f>
        <v>Groundnut</v>
      </c>
      <c r="B27" s="360"/>
      <c r="C27" s="390" t="str">
        <f>'10.Grain Production details'!B110</f>
        <v>  -   </v>
      </c>
      <c r="D27" s="390" t="str">
        <f>'10.Grain Production details'!C110</f>
        <v>  -   </v>
      </c>
      <c r="E27" s="390" t="str">
        <f>'10.Grain Production details'!D110</f>
        <v>  -   </v>
      </c>
      <c r="F27" s="390" t="str">
        <f>'10.Grain Production details'!E110</f>
        <v>  -   </v>
      </c>
      <c r="G27" s="390" t="str">
        <f>'10.Grain Production details'!F110</f>
        <v>  -   </v>
      </c>
      <c r="H27" s="390" t="str">
        <f>'10.Grain Production details'!G110</f>
        <v>  -   </v>
      </c>
      <c r="I27" s="390" t="str">
        <f>'10.Grain Production details'!H110</f>
        <v>  -   </v>
      </c>
    </row>
    <row r="28">
      <c r="A28" s="87" t="str">
        <f>'10.Grain Production details'!A110</f>
        <v/>
      </c>
      <c r="B28" s="360"/>
      <c r="C28" s="390" t="str">
        <f>'10.Grain Production details'!B111</f>
        <v>  -   </v>
      </c>
      <c r="D28" s="390" t="str">
        <f>'10.Grain Production details'!C111</f>
        <v>  -   </v>
      </c>
      <c r="E28" s="390" t="str">
        <f>'10.Grain Production details'!D111</f>
        <v>  -   </v>
      </c>
      <c r="F28" s="390" t="str">
        <f>'10.Grain Production details'!E111</f>
        <v>  -   </v>
      </c>
      <c r="G28" s="390" t="str">
        <f>'10.Grain Production details'!F111</f>
        <v>  -   </v>
      </c>
      <c r="H28" s="390" t="str">
        <f>'10.Grain Production details'!G111</f>
        <v>  -   </v>
      </c>
      <c r="I28" s="390" t="str">
        <f>'10.Grain Production details'!H111</f>
        <v>  -   </v>
      </c>
    </row>
    <row r="29">
      <c r="A29" s="87" t="str">
        <f>'10.Grain Production details'!A111</f>
        <v/>
      </c>
      <c r="B29" s="360"/>
      <c r="C29" s="390" t="str">
        <f>'10.Grain Production details'!B112</f>
        <v>  -   </v>
      </c>
      <c r="D29" s="390" t="str">
        <f>'10.Grain Production details'!C112</f>
        <v>  -   </v>
      </c>
      <c r="E29" s="390" t="str">
        <f>'10.Grain Production details'!D112</f>
        <v>  -   </v>
      </c>
      <c r="F29" s="390" t="str">
        <f>'10.Grain Production details'!E112</f>
        <v>  -   </v>
      </c>
      <c r="G29" s="390" t="str">
        <f>'10.Grain Production details'!F112</f>
        <v>  -   </v>
      </c>
      <c r="H29" s="390" t="str">
        <f>'10.Grain Production details'!G112</f>
        <v>  -   </v>
      </c>
      <c r="I29" s="390" t="str">
        <f>'10.Grain Production details'!H112</f>
        <v>  -   </v>
      </c>
    </row>
    <row r="30">
      <c r="A30" s="87" t="str">
        <f>'10.Grain Production details'!A112</f>
        <v/>
      </c>
      <c r="B30" s="360"/>
      <c r="C30" s="390" t="str">
        <f>'10.Grain Production details'!B113</f>
        <v>  -   </v>
      </c>
      <c r="D30" s="390" t="str">
        <f>'10.Grain Production details'!C113</f>
        <v>  -   </v>
      </c>
      <c r="E30" s="390" t="str">
        <f>'10.Grain Production details'!D113</f>
        <v>  -   </v>
      </c>
      <c r="F30" s="390" t="str">
        <f>'10.Grain Production details'!E113</f>
        <v>  -   </v>
      </c>
      <c r="G30" s="390" t="str">
        <f>'10.Grain Production details'!F113</f>
        <v>  -   </v>
      </c>
      <c r="H30" s="390" t="str">
        <f>'10.Grain Production details'!G113</f>
        <v>  -   </v>
      </c>
      <c r="I30" s="390" t="str">
        <f>'10.Grain Production details'!H113</f>
        <v>  -   </v>
      </c>
    </row>
    <row r="31">
      <c r="A31" s="87" t="str">
        <f>'10.Grain Production details'!A113</f>
        <v/>
      </c>
      <c r="B31" s="360"/>
      <c r="C31" s="390" t="str">
        <f>'10.Grain Production details'!C114</f>
        <v/>
      </c>
      <c r="D31" s="390" t="str">
        <f>'10.Grain Production details'!D114</f>
        <v/>
      </c>
      <c r="E31" s="390" t="str">
        <f>'10.Grain Production details'!E114</f>
        <v/>
      </c>
      <c r="F31" s="390" t="str">
        <f>'10.Grain Production details'!F114</f>
        <v/>
      </c>
      <c r="G31" s="390" t="str">
        <f>'10.Grain Production details'!G114</f>
        <v/>
      </c>
      <c r="H31" s="390" t="str">
        <f>'10.Grain Production details'!H114</f>
        <v/>
      </c>
      <c r="I31" s="390" t="str">
        <f>'10.Grain Production details'!I114</f>
        <v/>
      </c>
    </row>
    <row r="32">
      <c r="A32" s="90" t="str">
        <f>'11.F&amp;V Crop Production details'!A1:H1</f>
        <v>Fruit  &amp; Vegetables Crop Production Details</v>
      </c>
      <c r="B32" s="360"/>
      <c r="C32" s="390"/>
      <c r="D32" s="390"/>
      <c r="E32" s="390"/>
      <c r="F32" s="390"/>
      <c r="G32" s="390"/>
      <c r="H32" s="390"/>
      <c r="I32" s="390"/>
    </row>
    <row r="33">
      <c r="A33" s="87" t="str">
        <f>'11.F&amp;V Crop Production details'!A102</f>
        <v>Onion</v>
      </c>
      <c r="B33" s="360"/>
      <c r="C33" s="390" t="str">
        <f>'11.F&amp;V Crop Production details'!B102</f>
        <v>  -   </v>
      </c>
      <c r="D33" s="390" t="str">
        <f>'11.F&amp;V Crop Production details'!C102</f>
        <v>  -   </v>
      </c>
      <c r="E33" s="390" t="str">
        <f>'11.F&amp;V Crop Production details'!D102</f>
        <v>  -   </v>
      </c>
      <c r="F33" s="390" t="str">
        <f>'11.F&amp;V Crop Production details'!E102</f>
        <v>  -   </v>
      </c>
      <c r="G33" s="390" t="str">
        <f>'11.F&amp;V Crop Production details'!F102</f>
        <v>  -   </v>
      </c>
      <c r="H33" s="390" t="str">
        <f>'11.F&amp;V Crop Production details'!G102</f>
        <v>  -   </v>
      </c>
      <c r="I33" s="390" t="str">
        <f>'11.F&amp;V Crop Production details'!H102</f>
        <v>  -   </v>
      </c>
    </row>
    <row r="34">
      <c r="A34" s="87" t="str">
        <f>'11.F&amp;V Crop Production details'!A103</f>
        <v>Tomato</v>
      </c>
      <c r="B34" s="360"/>
      <c r="C34" s="390" t="str">
        <f>'11.F&amp;V Crop Production details'!B103</f>
        <v>  -   </v>
      </c>
      <c r="D34" s="390" t="str">
        <f>'11.F&amp;V Crop Production details'!C103</f>
        <v>  -   </v>
      </c>
      <c r="E34" s="390" t="str">
        <f>'11.F&amp;V Crop Production details'!D103</f>
        <v>  -   </v>
      </c>
      <c r="F34" s="390" t="str">
        <f>'11.F&amp;V Crop Production details'!E103</f>
        <v>  -   </v>
      </c>
      <c r="G34" s="390" t="str">
        <f>'11.F&amp;V Crop Production details'!F103</f>
        <v>  -   </v>
      </c>
      <c r="H34" s="390" t="str">
        <f>'11.F&amp;V Crop Production details'!G103</f>
        <v>  -   </v>
      </c>
      <c r="I34" s="390" t="str">
        <f>'11.F&amp;V Crop Production details'!H103</f>
        <v>  -   </v>
      </c>
    </row>
    <row r="35">
      <c r="A35" s="87" t="str">
        <f>'11.F&amp;V Crop Production details'!A104</f>
        <v>Okra</v>
      </c>
      <c r="B35" s="360"/>
      <c r="C35" s="390" t="str">
        <f>'11.F&amp;V Crop Production details'!B104</f>
        <v>  -   </v>
      </c>
      <c r="D35" s="390" t="str">
        <f>'11.F&amp;V Crop Production details'!C104</f>
        <v>  -   </v>
      </c>
      <c r="E35" s="390" t="str">
        <f>'11.F&amp;V Crop Production details'!D104</f>
        <v>  -   </v>
      </c>
      <c r="F35" s="390" t="str">
        <f>'11.F&amp;V Crop Production details'!E104</f>
        <v>  -   </v>
      </c>
      <c r="G35" s="390" t="str">
        <f>'11.F&amp;V Crop Production details'!F104</f>
        <v>  -   </v>
      </c>
      <c r="H35" s="390" t="str">
        <f>'11.F&amp;V Crop Production details'!G104</f>
        <v>  -   </v>
      </c>
      <c r="I35" s="390" t="str">
        <f>'11.F&amp;V Crop Production details'!H104</f>
        <v>  -   </v>
      </c>
    </row>
    <row r="36">
      <c r="A36" s="87" t="str">
        <f>'11.F&amp;V Crop Production details'!A105</f>
        <v>Chilli</v>
      </c>
      <c r="B36" s="360"/>
      <c r="C36" s="390" t="str">
        <f>'11.F&amp;V Crop Production details'!B105</f>
        <v>  -   </v>
      </c>
      <c r="D36" s="390" t="str">
        <f>'11.F&amp;V Crop Production details'!C105</f>
        <v>  -   </v>
      </c>
      <c r="E36" s="390" t="str">
        <f>'11.F&amp;V Crop Production details'!D105</f>
        <v>  -   </v>
      </c>
      <c r="F36" s="390" t="str">
        <f>'11.F&amp;V Crop Production details'!E105</f>
        <v>  -   </v>
      </c>
      <c r="G36" s="390" t="str">
        <f>'11.F&amp;V Crop Production details'!F105</f>
        <v>  -   </v>
      </c>
      <c r="H36" s="390" t="str">
        <f>'11.F&amp;V Crop Production details'!G105</f>
        <v>  -   </v>
      </c>
      <c r="I36" s="390" t="str">
        <f>'11.F&amp;V Crop Production details'!H105</f>
        <v>  -   </v>
      </c>
    </row>
    <row r="37">
      <c r="A37" s="87" t="str">
        <f>'11.F&amp;V Crop Production details'!A106</f>
        <v>Potato</v>
      </c>
      <c r="B37" s="360"/>
      <c r="C37" s="390" t="str">
        <f>'11.F&amp;V Crop Production details'!B106</f>
        <v>  -   </v>
      </c>
      <c r="D37" s="390" t="str">
        <f>'11.F&amp;V Crop Production details'!C106</f>
        <v>  -   </v>
      </c>
      <c r="E37" s="390" t="str">
        <f>'11.F&amp;V Crop Production details'!D106</f>
        <v>  -   </v>
      </c>
      <c r="F37" s="390" t="str">
        <f>'11.F&amp;V Crop Production details'!E106</f>
        <v>  -   </v>
      </c>
      <c r="G37" s="390" t="str">
        <f>'11.F&amp;V Crop Production details'!F106</f>
        <v>  -   </v>
      </c>
      <c r="H37" s="390" t="str">
        <f>'11.F&amp;V Crop Production details'!G106</f>
        <v>  -   </v>
      </c>
      <c r="I37" s="390" t="str">
        <f>'11.F&amp;V Crop Production details'!H106</f>
        <v>  -   </v>
      </c>
    </row>
    <row r="38">
      <c r="A38" s="87" t="str">
        <f>'11.F&amp;V Crop Production details'!A107</f>
        <v/>
      </c>
      <c r="B38" s="360"/>
      <c r="C38" s="390" t="str">
        <f>'11.F&amp;V Crop Production details'!B107</f>
        <v>  -   </v>
      </c>
      <c r="D38" s="390" t="str">
        <f>'11.F&amp;V Crop Production details'!C107</f>
        <v>  -   </v>
      </c>
      <c r="E38" s="390" t="str">
        <f>'11.F&amp;V Crop Production details'!D107</f>
        <v>  -   </v>
      </c>
      <c r="F38" s="390" t="str">
        <f>'11.F&amp;V Crop Production details'!E107</f>
        <v>  -   </v>
      </c>
      <c r="G38" s="390" t="str">
        <f>'11.F&amp;V Crop Production details'!F107</f>
        <v>  -   </v>
      </c>
      <c r="H38" s="390" t="str">
        <f>'11.F&amp;V Crop Production details'!G107</f>
        <v>  -   </v>
      </c>
      <c r="I38" s="390" t="str">
        <f>'11.F&amp;V Crop Production details'!H107</f>
        <v>  -   </v>
      </c>
    </row>
    <row r="39">
      <c r="A39" s="87" t="str">
        <f>'11.F&amp;V Crop Production details'!A108</f>
        <v/>
      </c>
      <c r="B39" s="360"/>
      <c r="C39" s="390" t="str">
        <f>'11.F&amp;V Crop Production details'!B108</f>
        <v>  -   </v>
      </c>
      <c r="D39" s="390" t="str">
        <f>'11.F&amp;V Crop Production details'!C108</f>
        <v>  -   </v>
      </c>
      <c r="E39" s="390" t="str">
        <f>'11.F&amp;V Crop Production details'!D108</f>
        <v>  -   </v>
      </c>
      <c r="F39" s="390" t="str">
        <f>'11.F&amp;V Crop Production details'!E108</f>
        <v>  -   </v>
      </c>
      <c r="G39" s="390" t="str">
        <f>'11.F&amp;V Crop Production details'!F108</f>
        <v>  -   </v>
      </c>
      <c r="H39" s="390" t="str">
        <f>'11.F&amp;V Crop Production details'!G108</f>
        <v>  -   </v>
      </c>
      <c r="I39" s="390" t="str">
        <f>'11.F&amp;V Crop Production details'!H108</f>
        <v>  -   </v>
      </c>
    </row>
    <row r="40">
      <c r="A40" s="87" t="str">
        <f>'11.F&amp;V Crop Production details'!A109</f>
        <v/>
      </c>
      <c r="B40" s="360"/>
      <c r="C40" s="390" t="str">
        <f>'11.F&amp;V Crop Production details'!B109</f>
        <v>  -   </v>
      </c>
      <c r="D40" s="390" t="str">
        <f>'11.F&amp;V Crop Production details'!C109</f>
        <v>  -   </v>
      </c>
      <c r="E40" s="390" t="str">
        <f>'11.F&amp;V Crop Production details'!D109</f>
        <v>  -   </v>
      </c>
      <c r="F40" s="390" t="str">
        <f>'11.F&amp;V Crop Production details'!E109</f>
        <v>  -   </v>
      </c>
      <c r="G40" s="390" t="str">
        <f>'11.F&amp;V Crop Production details'!F109</f>
        <v>  -   </v>
      </c>
      <c r="H40" s="390" t="str">
        <f>'11.F&amp;V Crop Production details'!G109</f>
        <v>  -   </v>
      </c>
      <c r="I40" s="390" t="str">
        <f>'11.F&amp;V Crop Production details'!H109</f>
        <v>  -   </v>
      </c>
    </row>
    <row r="41">
      <c r="A41" s="87" t="str">
        <f>'11.F&amp;V Crop Production details'!A110</f>
        <v/>
      </c>
      <c r="B41" s="360"/>
      <c r="C41" s="390" t="str">
        <f>'11.F&amp;V Crop Production details'!B110</f>
        <v>  -   </v>
      </c>
      <c r="D41" s="390" t="str">
        <f>'11.F&amp;V Crop Production details'!C110</f>
        <v>  -   </v>
      </c>
      <c r="E41" s="390" t="str">
        <f>'11.F&amp;V Crop Production details'!D110</f>
        <v>  -   </v>
      </c>
      <c r="F41" s="390" t="str">
        <f>'11.F&amp;V Crop Production details'!E110</f>
        <v>  -   </v>
      </c>
      <c r="G41" s="390" t="str">
        <f>'11.F&amp;V Crop Production details'!F110</f>
        <v>  -   </v>
      </c>
      <c r="H41" s="390" t="str">
        <f>'11.F&amp;V Crop Production details'!G110</f>
        <v>  -   </v>
      </c>
      <c r="I41" s="390" t="str">
        <f>'11.F&amp;V Crop Production details'!H110</f>
        <v>  -   </v>
      </c>
    </row>
    <row r="42">
      <c r="A42" s="87" t="str">
        <f>'11.F&amp;V Crop Production details'!A111</f>
        <v>Onion</v>
      </c>
      <c r="B42" s="360"/>
      <c r="C42" s="390" t="str">
        <f>'11.F&amp;V Crop Production details'!B111</f>
        <v>  -   </v>
      </c>
      <c r="D42" s="390" t="str">
        <f>'11.F&amp;V Crop Production details'!C111</f>
        <v>  -   </v>
      </c>
      <c r="E42" s="390" t="str">
        <f>'11.F&amp;V Crop Production details'!D111</f>
        <v>  -   </v>
      </c>
      <c r="F42" s="390" t="str">
        <f>'11.F&amp;V Crop Production details'!E111</f>
        <v>  -   </v>
      </c>
      <c r="G42" s="390" t="str">
        <f>'11.F&amp;V Crop Production details'!F111</f>
        <v>  -   </v>
      </c>
      <c r="H42" s="390" t="str">
        <f>'11.F&amp;V Crop Production details'!G111</f>
        <v>  -   </v>
      </c>
      <c r="I42" s="390" t="str">
        <f>'11.F&amp;V Crop Production details'!H111</f>
        <v>  -   </v>
      </c>
    </row>
    <row r="43">
      <c r="A43" s="87" t="str">
        <f>'11.F&amp;V Crop Production details'!A112</f>
        <v>Tomato</v>
      </c>
      <c r="B43" s="360"/>
      <c r="C43" s="390" t="str">
        <f>'11.F&amp;V Crop Production details'!B112</f>
        <v>  -   </v>
      </c>
      <c r="D43" s="390" t="str">
        <f>'11.F&amp;V Crop Production details'!C112</f>
        <v>  -   </v>
      </c>
      <c r="E43" s="390" t="str">
        <f>'11.F&amp;V Crop Production details'!D112</f>
        <v>  -   </v>
      </c>
      <c r="F43" s="390" t="str">
        <f>'11.F&amp;V Crop Production details'!E112</f>
        <v>  -   </v>
      </c>
      <c r="G43" s="390" t="str">
        <f>'11.F&amp;V Crop Production details'!F112</f>
        <v>  -   </v>
      </c>
      <c r="H43" s="390" t="str">
        <f>'11.F&amp;V Crop Production details'!G112</f>
        <v>  -   </v>
      </c>
      <c r="I43" s="390" t="str">
        <f>'11.F&amp;V Crop Production details'!H112</f>
        <v>  -   </v>
      </c>
    </row>
    <row r="44">
      <c r="A44" s="87" t="str">
        <f>'11.F&amp;V Crop Production details'!A113</f>
        <v>Okra</v>
      </c>
      <c r="B44" s="360"/>
      <c r="C44" s="390" t="str">
        <f>'11.F&amp;V Crop Production details'!B113</f>
        <v>  -   </v>
      </c>
      <c r="D44" s="390" t="str">
        <f>'11.F&amp;V Crop Production details'!C113</f>
        <v>  -   </v>
      </c>
      <c r="E44" s="390" t="str">
        <f>'11.F&amp;V Crop Production details'!D113</f>
        <v>  -   </v>
      </c>
      <c r="F44" s="390" t="str">
        <f>'11.F&amp;V Crop Production details'!E113</f>
        <v>  -   </v>
      </c>
      <c r="G44" s="390" t="str">
        <f>'11.F&amp;V Crop Production details'!F113</f>
        <v>  -   </v>
      </c>
      <c r="H44" s="390" t="str">
        <f>'11.F&amp;V Crop Production details'!G113</f>
        <v>  -   </v>
      </c>
      <c r="I44" s="390" t="str">
        <f>'11.F&amp;V Crop Production details'!H113</f>
        <v>  -   </v>
      </c>
    </row>
    <row r="45">
      <c r="A45" s="87" t="str">
        <f>'11.F&amp;V Crop Production details'!A114</f>
        <v>Chilli</v>
      </c>
      <c r="B45" s="360"/>
      <c r="C45" s="390" t="str">
        <f>'11.F&amp;V Crop Production details'!B114</f>
        <v>  -   </v>
      </c>
      <c r="D45" s="390" t="str">
        <f>'11.F&amp;V Crop Production details'!C114</f>
        <v>  -   </v>
      </c>
      <c r="E45" s="390" t="str">
        <f>'11.F&amp;V Crop Production details'!D114</f>
        <v>  -   </v>
      </c>
      <c r="F45" s="390" t="str">
        <f>'11.F&amp;V Crop Production details'!E114</f>
        <v>  -   </v>
      </c>
      <c r="G45" s="390" t="str">
        <f>'11.F&amp;V Crop Production details'!F114</f>
        <v>  -   </v>
      </c>
      <c r="H45" s="390" t="str">
        <f>'11.F&amp;V Crop Production details'!G114</f>
        <v>  -   </v>
      </c>
      <c r="I45" s="390" t="str">
        <f>'11.F&amp;V Crop Production details'!H114</f>
        <v>  -   </v>
      </c>
    </row>
    <row r="46">
      <c r="A46" s="87" t="str">
        <f>'11.F&amp;V Crop Production details'!A115</f>
        <v>Brinjal</v>
      </c>
      <c r="B46" s="360"/>
      <c r="C46" s="390" t="str">
        <f>'11.F&amp;V Crop Production details'!B115</f>
        <v>  -   </v>
      </c>
      <c r="D46" s="390" t="str">
        <f>'11.F&amp;V Crop Production details'!C115</f>
        <v>  -   </v>
      </c>
      <c r="E46" s="390" t="str">
        <f>'11.F&amp;V Crop Production details'!D115</f>
        <v>  -   </v>
      </c>
      <c r="F46" s="390" t="str">
        <f>'11.F&amp;V Crop Production details'!E115</f>
        <v>  -   </v>
      </c>
      <c r="G46" s="390" t="str">
        <f>'11.F&amp;V Crop Production details'!F115</f>
        <v>  -   </v>
      </c>
      <c r="H46" s="390" t="str">
        <f>'11.F&amp;V Crop Production details'!G115</f>
        <v>  -   </v>
      </c>
      <c r="I46" s="390" t="str">
        <f>'11.F&amp;V Crop Production details'!H115</f>
        <v>  -   </v>
      </c>
    </row>
    <row r="47">
      <c r="A47" s="87" t="str">
        <f>'11.F&amp;V Crop Production details'!A116</f>
        <v/>
      </c>
      <c r="B47" s="360"/>
      <c r="C47" s="390" t="str">
        <f>'11.F&amp;V Crop Production details'!B116</f>
        <v>  -   </v>
      </c>
      <c r="D47" s="390" t="str">
        <f>'11.F&amp;V Crop Production details'!C116</f>
        <v>  -   </v>
      </c>
      <c r="E47" s="390" t="str">
        <f>'11.F&amp;V Crop Production details'!D116</f>
        <v>  -   </v>
      </c>
      <c r="F47" s="390" t="str">
        <f>'11.F&amp;V Crop Production details'!E116</f>
        <v>  -   </v>
      </c>
      <c r="G47" s="390" t="str">
        <f>'11.F&amp;V Crop Production details'!F116</f>
        <v>  -   </v>
      </c>
      <c r="H47" s="390" t="str">
        <f>'11.F&amp;V Crop Production details'!G116</f>
        <v>  -   </v>
      </c>
      <c r="I47" s="390" t="str">
        <f>'11.F&amp;V Crop Production details'!H116</f>
        <v>  -   </v>
      </c>
    </row>
    <row r="48">
      <c r="A48" s="87" t="str">
        <f>'11.F&amp;V Crop Production details'!A117</f>
        <v/>
      </c>
      <c r="B48" s="360"/>
      <c r="C48" s="390" t="str">
        <f>'11.F&amp;V Crop Production details'!B117</f>
        <v>  -   </v>
      </c>
      <c r="D48" s="390" t="str">
        <f>'11.F&amp;V Crop Production details'!C117</f>
        <v>  -   </v>
      </c>
      <c r="E48" s="390" t="str">
        <f>'11.F&amp;V Crop Production details'!D117</f>
        <v>  -   </v>
      </c>
      <c r="F48" s="390" t="str">
        <f>'11.F&amp;V Crop Production details'!E117</f>
        <v>  -   </v>
      </c>
      <c r="G48" s="390" t="str">
        <f>'11.F&amp;V Crop Production details'!F117</f>
        <v>  -   </v>
      </c>
      <c r="H48" s="390" t="str">
        <f>'11.F&amp;V Crop Production details'!G117</f>
        <v>  -   </v>
      </c>
      <c r="I48" s="390" t="str">
        <f>'11.F&amp;V Crop Production details'!H117</f>
        <v>  -   </v>
      </c>
    </row>
    <row r="49">
      <c r="A49" s="87" t="str">
        <f>'11.F&amp;V Crop Production details'!A118</f>
        <v/>
      </c>
      <c r="B49" s="360"/>
      <c r="C49" s="390" t="str">
        <f>'11.F&amp;V Crop Production details'!B118</f>
        <v>  -   </v>
      </c>
      <c r="D49" s="390" t="str">
        <f>'11.F&amp;V Crop Production details'!C118</f>
        <v>  -   </v>
      </c>
      <c r="E49" s="390" t="str">
        <f>'11.F&amp;V Crop Production details'!D118</f>
        <v>  -   </v>
      </c>
      <c r="F49" s="390" t="str">
        <f>'11.F&amp;V Crop Production details'!E118</f>
        <v>  -   </v>
      </c>
      <c r="G49" s="390" t="str">
        <f>'11.F&amp;V Crop Production details'!F118</f>
        <v>  -   </v>
      </c>
      <c r="H49" s="390" t="str">
        <f>'11.F&amp;V Crop Production details'!G118</f>
        <v>  -   </v>
      </c>
      <c r="I49" s="390" t="str">
        <f>'11.F&amp;V Crop Production details'!H118</f>
        <v>  -   </v>
      </c>
    </row>
    <row r="50">
      <c r="A50" s="87" t="str">
        <f>'11.F&amp;V Crop Production details'!A119</f>
        <v/>
      </c>
      <c r="B50" s="360"/>
      <c r="C50" s="390" t="str">
        <f>'11.F&amp;V Crop Production details'!B119</f>
        <v>  -   </v>
      </c>
      <c r="D50" s="390" t="str">
        <f>'11.F&amp;V Crop Production details'!C119</f>
        <v>  -   </v>
      </c>
      <c r="E50" s="390" t="str">
        <f>'11.F&amp;V Crop Production details'!D119</f>
        <v>  -   </v>
      </c>
      <c r="F50" s="390" t="str">
        <f>'11.F&amp;V Crop Production details'!E119</f>
        <v>  -   </v>
      </c>
      <c r="G50" s="390" t="str">
        <f>'11.F&amp;V Crop Production details'!F119</f>
        <v>  -   </v>
      </c>
      <c r="H50" s="390" t="str">
        <f>'11.F&amp;V Crop Production details'!G119</f>
        <v>  -   </v>
      </c>
      <c r="I50" s="390" t="str">
        <f>'11.F&amp;V Crop Production details'!H119</f>
        <v>  -   </v>
      </c>
    </row>
    <row r="51">
      <c r="A51" s="87" t="str">
        <f>'11.F&amp;V Crop Production details'!A120</f>
        <v/>
      </c>
      <c r="B51" s="360"/>
      <c r="C51" s="390" t="str">
        <f>'11.F&amp;V Crop Production details'!B120</f>
        <v>  -   </v>
      </c>
      <c r="D51" s="390" t="str">
        <f>'11.F&amp;V Crop Production details'!C120</f>
        <v>  -   </v>
      </c>
      <c r="E51" s="390" t="str">
        <f>'11.F&amp;V Crop Production details'!D120</f>
        <v>  -   </v>
      </c>
      <c r="F51" s="390" t="str">
        <f>'11.F&amp;V Crop Production details'!E120</f>
        <v>  -   </v>
      </c>
      <c r="G51" s="390" t="str">
        <f>'11.F&amp;V Crop Production details'!F120</f>
        <v>  -   </v>
      </c>
      <c r="H51" s="390" t="str">
        <f>'11.F&amp;V Crop Production details'!G120</f>
        <v>  -   </v>
      </c>
      <c r="I51" s="390" t="str">
        <f>'11.F&amp;V Crop Production details'!H120</f>
        <v>  -   </v>
      </c>
    </row>
    <row r="52">
      <c r="A52" s="87" t="str">
        <f>'11.F&amp;V Crop Production details'!A121</f>
        <v/>
      </c>
      <c r="B52" s="360"/>
      <c r="C52" s="390" t="str">
        <f>'11.F&amp;V Crop Production details'!B121</f>
        <v>  -   </v>
      </c>
      <c r="D52" s="390" t="str">
        <f>'11.F&amp;V Crop Production details'!C121</f>
        <v>  -   </v>
      </c>
      <c r="E52" s="390" t="str">
        <f>'11.F&amp;V Crop Production details'!D121</f>
        <v>  -   </v>
      </c>
      <c r="F52" s="390" t="str">
        <f>'11.F&amp;V Crop Production details'!E121</f>
        <v>  -   </v>
      </c>
      <c r="G52" s="390" t="str">
        <f>'11.F&amp;V Crop Production details'!F121</f>
        <v>  -   </v>
      </c>
      <c r="H52" s="390" t="str">
        <f>'11.F&amp;V Crop Production details'!G121</f>
        <v>  -   </v>
      </c>
      <c r="I52" s="390" t="str">
        <f>'11.F&amp;V Crop Production details'!H121</f>
        <v>  -   </v>
      </c>
    </row>
    <row r="53">
      <c r="A53" s="87" t="str">
        <f>'11.F&amp;V Crop Production details'!A122</f>
        <v/>
      </c>
      <c r="B53" s="360"/>
      <c r="C53" s="390" t="str">
        <f>'11.F&amp;V Crop Production details'!B122</f>
        <v>  -   </v>
      </c>
      <c r="D53" s="390" t="str">
        <f>'11.F&amp;V Crop Production details'!C122</f>
        <v>  -   </v>
      </c>
      <c r="E53" s="390" t="str">
        <f>'11.F&amp;V Crop Production details'!D122</f>
        <v>  -   </v>
      </c>
      <c r="F53" s="390" t="str">
        <f>'11.F&amp;V Crop Production details'!E122</f>
        <v>  -   </v>
      </c>
      <c r="G53" s="390" t="str">
        <f>'11.F&amp;V Crop Production details'!F122</f>
        <v>  -   </v>
      </c>
      <c r="H53" s="390" t="str">
        <f>'11.F&amp;V Crop Production details'!G122</f>
        <v>  -   </v>
      </c>
      <c r="I53" s="390" t="str">
        <f>'11.F&amp;V Crop Production details'!H122</f>
        <v>  -   </v>
      </c>
    </row>
    <row r="54">
      <c r="A54" s="87" t="str">
        <f>'11.F&amp;V Crop Production details'!A123</f>
        <v>Pomegranate</v>
      </c>
      <c r="B54" s="360"/>
      <c r="C54" s="390" t="str">
        <f>'11.F&amp;V Crop Production details'!B123</f>
        <v>  -   </v>
      </c>
      <c r="D54" s="390" t="str">
        <f>'11.F&amp;V Crop Production details'!C123</f>
        <v>  -   </v>
      </c>
      <c r="E54" s="390" t="str">
        <f>'11.F&amp;V Crop Production details'!D123</f>
        <v>  -   </v>
      </c>
      <c r="F54" s="390" t="str">
        <f>'11.F&amp;V Crop Production details'!E123</f>
        <v>  -   </v>
      </c>
      <c r="G54" s="390" t="str">
        <f>'11.F&amp;V Crop Production details'!F123</f>
        <v>  -   </v>
      </c>
      <c r="H54" s="390" t="str">
        <f>'11.F&amp;V Crop Production details'!G123</f>
        <v>  -   </v>
      </c>
      <c r="I54" s="390" t="str">
        <f>'11.F&amp;V Crop Production details'!H123</f>
        <v>  -   </v>
      </c>
    </row>
    <row r="55">
      <c r="A55" s="87" t="str">
        <f>'11.F&amp;V Crop Production details'!A124</f>
        <v>Custard Apple</v>
      </c>
      <c r="B55" s="360"/>
      <c r="C55" s="390" t="str">
        <f>'11.F&amp;V Crop Production details'!B124</f>
        <v>  -   </v>
      </c>
      <c r="D55" s="390" t="str">
        <f>'11.F&amp;V Crop Production details'!C124</f>
        <v>  -   </v>
      </c>
      <c r="E55" s="390" t="str">
        <f>'11.F&amp;V Crop Production details'!D124</f>
        <v>  -   </v>
      </c>
      <c r="F55" s="390" t="str">
        <f>'11.F&amp;V Crop Production details'!E124</f>
        <v>  -   </v>
      </c>
      <c r="G55" s="390" t="str">
        <f>'11.F&amp;V Crop Production details'!F124</f>
        <v>  -   </v>
      </c>
      <c r="H55" s="390" t="str">
        <f>'11.F&amp;V Crop Production details'!G124</f>
        <v>  -   </v>
      </c>
      <c r="I55" s="390" t="str">
        <f>'11.F&amp;V Crop Production details'!H124</f>
        <v>  -   </v>
      </c>
    </row>
    <row r="56">
      <c r="A56" s="87" t="str">
        <f>'11.F&amp;V Crop Production details'!A125</f>
        <v>Guava</v>
      </c>
      <c r="B56" s="360"/>
      <c r="C56" s="390" t="str">
        <f>'11.F&amp;V Crop Production details'!B125</f>
        <v>  -   </v>
      </c>
      <c r="D56" s="390" t="str">
        <f>'11.F&amp;V Crop Production details'!C125</f>
        <v>  -   </v>
      </c>
      <c r="E56" s="390" t="str">
        <f>'11.F&amp;V Crop Production details'!D125</f>
        <v>  -   </v>
      </c>
      <c r="F56" s="390" t="str">
        <f>'11.F&amp;V Crop Production details'!E125</f>
        <v>  -   </v>
      </c>
      <c r="G56" s="390" t="str">
        <f>'11.F&amp;V Crop Production details'!F125</f>
        <v>  -   </v>
      </c>
      <c r="H56" s="390" t="str">
        <f>'11.F&amp;V Crop Production details'!G125</f>
        <v>  -   </v>
      </c>
      <c r="I56" s="390" t="str">
        <f>'11.F&amp;V Crop Production details'!H125</f>
        <v>  -   </v>
      </c>
    </row>
    <row r="57">
      <c r="A57" s="87" t="str">
        <f>'11.F&amp;V Crop Production details'!A126</f>
        <v>Citrus</v>
      </c>
      <c r="B57" s="360"/>
      <c r="C57" s="390" t="str">
        <f>'11.F&amp;V Crop Production details'!B126</f>
        <v>  -   </v>
      </c>
      <c r="D57" s="390" t="str">
        <f>'11.F&amp;V Crop Production details'!C126</f>
        <v>  -   </v>
      </c>
      <c r="E57" s="390" t="str">
        <f>'11.F&amp;V Crop Production details'!D126</f>
        <v>  -   </v>
      </c>
      <c r="F57" s="390" t="str">
        <f>'11.F&amp;V Crop Production details'!E126</f>
        <v>  -   </v>
      </c>
      <c r="G57" s="390" t="str">
        <f>'11.F&amp;V Crop Production details'!F126</f>
        <v>  -   </v>
      </c>
      <c r="H57" s="390" t="str">
        <f>'11.F&amp;V Crop Production details'!G126</f>
        <v>  -   </v>
      </c>
      <c r="I57" s="390" t="str">
        <f>'11.F&amp;V Crop Production details'!H126</f>
        <v>  -   </v>
      </c>
    </row>
    <row r="58">
      <c r="A58" s="87"/>
      <c r="B58" s="360"/>
      <c r="C58" s="360"/>
      <c r="D58" s="360"/>
      <c r="E58" s="360"/>
      <c r="F58" s="360"/>
      <c r="G58" s="360"/>
      <c r="H58" s="360"/>
      <c r="I58" s="360"/>
    </row>
    <row r="59">
      <c r="A59" s="90" t="s">
        <v>705</v>
      </c>
      <c r="B59" s="87"/>
      <c r="C59" s="87"/>
      <c r="D59" s="87"/>
      <c r="E59" s="87"/>
      <c r="F59" s="87"/>
      <c r="G59" s="87"/>
      <c r="H59" s="87"/>
      <c r="I59" s="87"/>
    </row>
    <row r="60">
      <c r="A60" s="90" t="s">
        <v>706</v>
      </c>
      <c r="B60" s="87"/>
      <c r="C60" s="87"/>
      <c r="D60" s="87"/>
      <c r="E60" s="87"/>
      <c r="F60" s="87"/>
      <c r="G60" s="87"/>
      <c r="H60" s="87"/>
      <c r="I60" s="87"/>
    </row>
    <row r="61">
      <c r="A61" s="90" t="str">
        <f t="shared" ref="A61:A110" si="1">A8</f>
        <v>Kharif Crops</v>
      </c>
      <c r="B61" s="87"/>
      <c r="C61" s="87"/>
      <c r="D61" s="87"/>
      <c r="E61" s="87"/>
      <c r="F61" s="87"/>
      <c r="G61" s="87"/>
      <c r="H61" s="87"/>
      <c r="I61" s="87"/>
    </row>
    <row r="62">
      <c r="A62" s="87" t="str">
        <f t="shared" si="1"/>
        <v>Soybean</v>
      </c>
      <c r="B62" s="157">
        <v>40.0</v>
      </c>
      <c r="C62" s="360" t="str">
        <f t="shared" ref="C62:I62" si="2">$B62*C9</f>
        <v>  -   </v>
      </c>
      <c r="D62" s="360" t="str">
        <f t="shared" si="2"/>
        <v>  -   </v>
      </c>
      <c r="E62" s="360" t="str">
        <f t="shared" si="2"/>
        <v>  -   </v>
      </c>
      <c r="F62" s="360" t="str">
        <f t="shared" si="2"/>
        <v>  -   </v>
      </c>
      <c r="G62" s="360" t="str">
        <f t="shared" si="2"/>
        <v>  -   </v>
      </c>
      <c r="H62" s="360" t="str">
        <f t="shared" si="2"/>
        <v>  -   </v>
      </c>
      <c r="I62" s="360" t="str">
        <f t="shared" si="2"/>
        <v>  -   </v>
      </c>
    </row>
    <row r="63">
      <c r="A63" s="87" t="str">
        <f t="shared" si="1"/>
        <v>Red Gram/Tur</v>
      </c>
      <c r="B63" s="157">
        <v>5.0</v>
      </c>
      <c r="C63" s="360" t="str">
        <f t="shared" ref="C63:C69" si="4">$B63*C10</f>
        <v>  -   </v>
      </c>
      <c r="D63" s="360" t="str">
        <f t="shared" ref="D63:I63" si="3">$B$63*D10</f>
        <v>  -   </v>
      </c>
      <c r="E63" s="360" t="str">
        <f t="shared" si="3"/>
        <v>  -   </v>
      </c>
      <c r="F63" s="360" t="str">
        <f t="shared" si="3"/>
        <v>  -   </v>
      </c>
      <c r="G63" s="360" t="str">
        <f t="shared" si="3"/>
        <v>  -   </v>
      </c>
      <c r="H63" s="360" t="str">
        <f t="shared" si="3"/>
        <v>  -   </v>
      </c>
      <c r="I63" s="360" t="str">
        <f t="shared" si="3"/>
        <v>  -   </v>
      </c>
    </row>
    <row r="64">
      <c r="A64" s="87" t="str">
        <f t="shared" si="1"/>
        <v>Paddy/Rice</v>
      </c>
      <c r="B64" s="157">
        <v>15.0</v>
      </c>
      <c r="C64" s="360" t="str">
        <f t="shared" si="4"/>
        <v>  -   </v>
      </c>
      <c r="D64" s="360" t="str">
        <f t="shared" ref="D64:I64" si="5">$B$64*D11</f>
        <v>  -   </v>
      </c>
      <c r="E64" s="360" t="str">
        <f t="shared" si="5"/>
        <v>  -   </v>
      </c>
      <c r="F64" s="360" t="str">
        <f t="shared" si="5"/>
        <v>  -   </v>
      </c>
      <c r="G64" s="360" t="str">
        <f t="shared" si="5"/>
        <v>  -   </v>
      </c>
      <c r="H64" s="360" t="str">
        <f t="shared" si="5"/>
        <v>  -   </v>
      </c>
      <c r="I64" s="360" t="str">
        <f t="shared" si="5"/>
        <v>  -   </v>
      </c>
    </row>
    <row r="65">
      <c r="A65" s="87" t="str">
        <f t="shared" si="1"/>
        <v>Green Gram/ Moong</v>
      </c>
      <c r="B65" s="157">
        <v>15.0</v>
      </c>
      <c r="C65" s="360" t="str">
        <f t="shared" si="4"/>
        <v>  -   </v>
      </c>
      <c r="D65" s="360" t="str">
        <f t="shared" ref="D65:I65" si="6">$B65*D12</f>
        <v>  -   </v>
      </c>
      <c r="E65" s="360" t="str">
        <f t="shared" si="6"/>
        <v>  -   </v>
      </c>
      <c r="F65" s="360" t="str">
        <f t="shared" si="6"/>
        <v>  -   </v>
      </c>
      <c r="G65" s="360" t="str">
        <f t="shared" si="6"/>
        <v>  -   </v>
      </c>
      <c r="H65" s="360" t="str">
        <f t="shared" si="6"/>
        <v>  -   </v>
      </c>
      <c r="I65" s="360" t="str">
        <f t="shared" si="6"/>
        <v>  -   </v>
      </c>
    </row>
    <row r="66">
      <c r="A66" s="87" t="str">
        <f t="shared" si="1"/>
        <v>Maize</v>
      </c>
      <c r="B66" s="157">
        <v>25.0</v>
      </c>
      <c r="C66" s="360" t="str">
        <f t="shared" si="4"/>
        <v>  -   </v>
      </c>
      <c r="D66" s="360" t="str">
        <f t="shared" ref="D66:I66" si="7">$B66*D13</f>
        <v>  -   </v>
      </c>
      <c r="E66" s="360" t="str">
        <f t="shared" si="7"/>
        <v>  -   </v>
      </c>
      <c r="F66" s="360" t="str">
        <f t="shared" si="7"/>
        <v>  -   </v>
      </c>
      <c r="G66" s="360" t="str">
        <f t="shared" si="7"/>
        <v>  -   </v>
      </c>
      <c r="H66" s="360" t="str">
        <f t="shared" si="7"/>
        <v>  -   </v>
      </c>
      <c r="I66" s="360" t="str">
        <f t="shared" si="7"/>
        <v>  -   </v>
      </c>
    </row>
    <row r="67">
      <c r="A67" s="87" t="str">
        <f t="shared" si="1"/>
        <v>Black Gram/Udid</v>
      </c>
      <c r="B67" s="157">
        <v>15.0</v>
      </c>
      <c r="C67" s="360" t="str">
        <f t="shared" si="4"/>
        <v>  -   </v>
      </c>
      <c r="D67" s="360" t="str">
        <f t="shared" ref="D67:I67" si="8">$B67*D14</f>
        <v>  -   </v>
      </c>
      <c r="E67" s="360" t="str">
        <f t="shared" si="8"/>
        <v>  -   </v>
      </c>
      <c r="F67" s="360" t="str">
        <f t="shared" si="8"/>
        <v>  -   </v>
      </c>
      <c r="G67" s="360" t="str">
        <f t="shared" si="8"/>
        <v>  -   </v>
      </c>
      <c r="H67" s="360" t="str">
        <f t="shared" si="8"/>
        <v>  -   </v>
      </c>
      <c r="I67" s="360" t="str">
        <f t="shared" si="8"/>
        <v>  -   </v>
      </c>
    </row>
    <row r="68">
      <c r="A68" s="87" t="str">
        <f t="shared" si="1"/>
        <v>Bajra</v>
      </c>
      <c r="B68" s="157">
        <v>5.0</v>
      </c>
      <c r="C68" s="360" t="str">
        <f t="shared" si="4"/>
        <v>  -   </v>
      </c>
      <c r="D68" s="360" t="str">
        <f t="shared" ref="D68:I68" si="9">$B68*D15</f>
        <v>  -   </v>
      </c>
      <c r="E68" s="360" t="str">
        <f t="shared" si="9"/>
        <v>  -   </v>
      </c>
      <c r="F68" s="360" t="str">
        <f t="shared" si="9"/>
        <v>  -   </v>
      </c>
      <c r="G68" s="360" t="str">
        <f t="shared" si="9"/>
        <v>  -   </v>
      </c>
      <c r="H68" s="360" t="str">
        <f t="shared" si="9"/>
        <v>  -   </v>
      </c>
      <c r="I68" s="360" t="str">
        <f t="shared" si="9"/>
        <v>  -   </v>
      </c>
    </row>
    <row r="69">
      <c r="A69" s="87" t="str">
        <f t="shared" si="1"/>
        <v>Jawar</v>
      </c>
      <c r="B69" s="157">
        <v>5.0</v>
      </c>
      <c r="C69" s="360" t="str">
        <f t="shared" si="4"/>
        <v>  -   </v>
      </c>
      <c r="D69" s="360" t="str">
        <f t="shared" ref="D69:I69" si="10">$B69*D16</f>
        <v>  -   </v>
      </c>
      <c r="E69" s="360" t="str">
        <f t="shared" si="10"/>
        <v>  -   </v>
      </c>
      <c r="F69" s="360" t="str">
        <f t="shared" si="10"/>
        <v>  -   </v>
      </c>
      <c r="G69" s="360" t="str">
        <f t="shared" si="10"/>
        <v>  -   </v>
      </c>
      <c r="H69" s="360" t="str">
        <f t="shared" si="10"/>
        <v>  -   </v>
      </c>
      <c r="I69" s="360" t="str">
        <f t="shared" si="10"/>
        <v>  -   </v>
      </c>
    </row>
    <row r="70">
      <c r="A70" s="90" t="str">
        <f t="shared" si="1"/>
        <v>Rabi Crop</v>
      </c>
      <c r="B70" s="157"/>
      <c r="C70" s="360"/>
      <c r="D70" s="360"/>
      <c r="E70" s="360"/>
      <c r="F70" s="360"/>
      <c r="G70" s="360"/>
      <c r="H70" s="360"/>
      <c r="I70" s="360"/>
    </row>
    <row r="71">
      <c r="A71" s="87" t="str">
        <f t="shared" si="1"/>
        <v>Wheat</v>
      </c>
      <c r="B71" s="157">
        <v>20.0</v>
      </c>
      <c r="C71" s="360" t="str">
        <f t="shared" ref="C71:I71" si="11">$B71*C18</f>
        <v>  -   </v>
      </c>
      <c r="D71" s="360" t="str">
        <f t="shared" si="11"/>
        <v>  -   </v>
      </c>
      <c r="E71" s="360" t="str">
        <f t="shared" si="11"/>
        <v>  -   </v>
      </c>
      <c r="F71" s="360" t="str">
        <f t="shared" si="11"/>
        <v>  -   </v>
      </c>
      <c r="G71" s="360" t="str">
        <f t="shared" si="11"/>
        <v>  -   </v>
      </c>
      <c r="H71" s="360" t="str">
        <f t="shared" si="11"/>
        <v>  -   </v>
      </c>
      <c r="I71" s="360" t="str">
        <f t="shared" si="11"/>
        <v>  -   </v>
      </c>
    </row>
    <row r="72">
      <c r="A72" s="87" t="str">
        <f t="shared" si="1"/>
        <v>Bengal Gram/Channa</v>
      </c>
      <c r="B72" s="157">
        <v>25.0</v>
      </c>
      <c r="C72" s="360" t="str">
        <f t="shared" ref="C72:I72" si="12">$B72*C19</f>
        <v>  -   </v>
      </c>
      <c r="D72" s="360" t="str">
        <f t="shared" si="12"/>
        <v>  -   </v>
      </c>
      <c r="E72" s="360" t="str">
        <f t="shared" si="12"/>
        <v>  -   </v>
      </c>
      <c r="F72" s="360" t="str">
        <f t="shared" si="12"/>
        <v>  -   </v>
      </c>
      <c r="G72" s="360" t="str">
        <f t="shared" si="12"/>
        <v>  -   </v>
      </c>
      <c r="H72" s="360" t="str">
        <f t="shared" si="12"/>
        <v>  -   </v>
      </c>
      <c r="I72" s="360" t="str">
        <f t="shared" si="12"/>
        <v>  -   </v>
      </c>
    </row>
    <row r="73">
      <c r="A73" s="87" t="str">
        <f t="shared" si="1"/>
        <v>Jawar</v>
      </c>
      <c r="B73" s="157">
        <v>5.0</v>
      </c>
      <c r="C73" s="360" t="str">
        <f t="shared" ref="C73:I73" si="13">$B73*C20</f>
        <v>  -   </v>
      </c>
      <c r="D73" s="360" t="str">
        <f t="shared" si="13"/>
        <v>  -   </v>
      </c>
      <c r="E73" s="360" t="str">
        <f t="shared" si="13"/>
        <v>  -   </v>
      </c>
      <c r="F73" s="360" t="str">
        <f t="shared" si="13"/>
        <v>  -   </v>
      </c>
      <c r="G73" s="360" t="str">
        <f t="shared" si="13"/>
        <v>  -   </v>
      </c>
      <c r="H73" s="360" t="str">
        <f t="shared" si="13"/>
        <v>  -   </v>
      </c>
      <c r="I73" s="360" t="str">
        <f t="shared" si="13"/>
        <v>  -   </v>
      </c>
    </row>
    <row r="74">
      <c r="A74" s="87" t="str">
        <f t="shared" si="1"/>
        <v>Maize</v>
      </c>
      <c r="B74" s="157">
        <v>20.0</v>
      </c>
      <c r="C74" s="360" t="str">
        <f t="shared" ref="C74:I74" si="14">$B74*C21</f>
        <v>  -   </v>
      </c>
      <c r="D74" s="360" t="str">
        <f t="shared" si="14"/>
        <v>  -   </v>
      </c>
      <c r="E74" s="360" t="str">
        <f t="shared" si="14"/>
        <v>  -   </v>
      </c>
      <c r="F74" s="360" t="str">
        <f t="shared" si="14"/>
        <v>  -   </v>
      </c>
      <c r="G74" s="360" t="str">
        <f t="shared" si="14"/>
        <v>  -   </v>
      </c>
      <c r="H74" s="360" t="str">
        <f t="shared" si="14"/>
        <v>  -   </v>
      </c>
      <c r="I74" s="360" t="str">
        <f t="shared" si="14"/>
        <v>  -   </v>
      </c>
    </row>
    <row r="75">
      <c r="A75" s="87" t="str">
        <f t="shared" si="1"/>
        <v>Safflower</v>
      </c>
      <c r="B75" s="157"/>
      <c r="C75" s="360" t="str">
        <f t="shared" ref="C75:I75" si="15">$B75*C22</f>
        <v>  -   </v>
      </c>
      <c r="D75" s="360" t="str">
        <f t="shared" si="15"/>
        <v>  -   </v>
      </c>
      <c r="E75" s="360" t="str">
        <f t="shared" si="15"/>
        <v>  -   </v>
      </c>
      <c r="F75" s="360" t="str">
        <f t="shared" si="15"/>
        <v>  -   </v>
      </c>
      <c r="G75" s="360" t="str">
        <f t="shared" si="15"/>
        <v>  -   </v>
      </c>
      <c r="H75" s="360" t="str">
        <f t="shared" si="15"/>
        <v>  -   </v>
      </c>
      <c r="I75" s="360" t="str">
        <f t="shared" si="15"/>
        <v>  -   </v>
      </c>
    </row>
    <row r="76">
      <c r="A76" s="87" t="str">
        <f t="shared" si="1"/>
        <v/>
      </c>
      <c r="B76" s="157"/>
      <c r="C76" s="360" t="str">
        <f t="shared" ref="C76:I76" si="16">$B76*C23</f>
        <v>  -   </v>
      </c>
      <c r="D76" s="360" t="str">
        <f t="shared" si="16"/>
        <v>  -   </v>
      </c>
      <c r="E76" s="360" t="str">
        <f t="shared" si="16"/>
        <v>  -   </v>
      </c>
      <c r="F76" s="360" t="str">
        <f t="shared" si="16"/>
        <v>  -   </v>
      </c>
      <c r="G76" s="360" t="str">
        <f t="shared" si="16"/>
        <v>  -   </v>
      </c>
      <c r="H76" s="360" t="str">
        <f t="shared" si="16"/>
        <v>  -   </v>
      </c>
      <c r="I76" s="360" t="str">
        <f t="shared" si="16"/>
        <v>  -   </v>
      </c>
    </row>
    <row r="77">
      <c r="A77" s="87" t="str">
        <f t="shared" si="1"/>
        <v/>
      </c>
      <c r="B77" s="157"/>
      <c r="C77" s="360" t="str">
        <f t="shared" ref="C77:I77" si="17">$B77*C24</f>
        <v>  -   </v>
      </c>
      <c r="D77" s="360" t="str">
        <f t="shared" si="17"/>
        <v>  -   </v>
      </c>
      <c r="E77" s="360" t="str">
        <f t="shared" si="17"/>
        <v>  -   </v>
      </c>
      <c r="F77" s="360" t="str">
        <f t="shared" si="17"/>
        <v>  -   </v>
      </c>
      <c r="G77" s="360" t="str">
        <f t="shared" si="17"/>
        <v>  -   </v>
      </c>
      <c r="H77" s="360" t="str">
        <f t="shared" si="17"/>
        <v>  -   </v>
      </c>
      <c r="I77" s="360" t="str">
        <f t="shared" si="17"/>
        <v>  -   </v>
      </c>
    </row>
    <row r="78">
      <c r="A78" s="87" t="str">
        <f t="shared" si="1"/>
        <v/>
      </c>
      <c r="B78" s="157"/>
      <c r="C78" s="360" t="str">
        <f t="shared" ref="C78:I78" si="18">$B78*C25</f>
        <v>  -   </v>
      </c>
      <c r="D78" s="360" t="str">
        <f t="shared" si="18"/>
        <v>  -   </v>
      </c>
      <c r="E78" s="360" t="str">
        <f t="shared" si="18"/>
        <v>  -   </v>
      </c>
      <c r="F78" s="360" t="str">
        <f t="shared" si="18"/>
        <v>  -   </v>
      </c>
      <c r="G78" s="360" t="str">
        <f t="shared" si="18"/>
        <v>  -   </v>
      </c>
      <c r="H78" s="360" t="str">
        <f t="shared" si="18"/>
        <v>  -   </v>
      </c>
      <c r="I78" s="360" t="str">
        <f t="shared" si="18"/>
        <v>  -   </v>
      </c>
    </row>
    <row r="79">
      <c r="A79" s="90" t="str">
        <f t="shared" si="1"/>
        <v>Summer</v>
      </c>
      <c r="B79" s="157"/>
      <c r="C79" s="360"/>
      <c r="D79" s="360"/>
      <c r="E79" s="360"/>
      <c r="F79" s="360"/>
      <c r="G79" s="360"/>
      <c r="H79" s="360"/>
      <c r="I79" s="360"/>
    </row>
    <row r="80">
      <c r="A80" s="87" t="str">
        <f t="shared" si="1"/>
        <v>Groundnut</v>
      </c>
      <c r="B80" s="157"/>
      <c r="C80" s="360" t="str">
        <f t="shared" ref="C80:I80" si="19">$B80*C27</f>
        <v>  -   </v>
      </c>
      <c r="D80" s="360" t="str">
        <f t="shared" si="19"/>
        <v>  -   </v>
      </c>
      <c r="E80" s="360" t="str">
        <f t="shared" si="19"/>
        <v>  -   </v>
      </c>
      <c r="F80" s="360" t="str">
        <f t="shared" si="19"/>
        <v>  -   </v>
      </c>
      <c r="G80" s="360" t="str">
        <f t="shared" si="19"/>
        <v>  -   </v>
      </c>
      <c r="H80" s="360" t="str">
        <f t="shared" si="19"/>
        <v>  -   </v>
      </c>
      <c r="I80" s="360" t="str">
        <f t="shared" si="19"/>
        <v>  -   </v>
      </c>
    </row>
    <row r="81">
      <c r="A81" s="87" t="str">
        <f t="shared" si="1"/>
        <v/>
      </c>
      <c r="B81" s="157"/>
      <c r="C81" s="360" t="str">
        <f t="shared" ref="C81:I81" si="20">$B81*C28</f>
        <v>  -   </v>
      </c>
      <c r="D81" s="360" t="str">
        <f t="shared" si="20"/>
        <v>  -   </v>
      </c>
      <c r="E81" s="360" t="str">
        <f t="shared" si="20"/>
        <v>  -   </v>
      </c>
      <c r="F81" s="360" t="str">
        <f t="shared" si="20"/>
        <v>  -   </v>
      </c>
      <c r="G81" s="360" t="str">
        <f t="shared" si="20"/>
        <v>  -   </v>
      </c>
      <c r="H81" s="360" t="str">
        <f t="shared" si="20"/>
        <v>  -   </v>
      </c>
      <c r="I81" s="360" t="str">
        <f t="shared" si="20"/>
        <v>  -   </v>
      </c>
    </row>
    <row r="82">
      <c r="A82" s="87" t="str">
        <f t="shared" si="1"/>
        <v/>
      </c>
      <c r="B82" s="157"/>
      <c r="C82" s="360" t="str">
        <f t="shared" ref="C82:I82" si="21">$B82*C29</f>
        <v>  -   </v>
      </c>
      <c r="D82" s="360" t="str">
        <f t="shared" si="21"/>
        <v>  -   </v>
      </c>
      <c r="E82" s="360" t="str">
        <f t="shared" si="21"/>
        <v>  -   </v>
      </c>
      <c r="F82" s="360" t="str">
        <f t="shared" si="21"/>
        <v>  -   </v>
      </c>
      <c r="G82" s="360" t="str">
        <f t="shared" si="21"/>
        <v>  -   </v>
      </c>
      <c r="H82" s="360" t="str">
        <f t="shared" si="21"/>
        <v>  -   </v>
      </c>
      <c r="I82" s="360" t="str">
        <f t="shared" si="21"/>
        <v>  -   </v>
      </c>
    </row>
    <row r="83">
      <c r="A83" s="87" t="str">
        <f t="shared" si="1"/>
        <v/>
      </c>
      <c r="B83" s="157"/>
      <c r="C83" s="360" t="str">
        <f t="shared" ref="C83:I83" si="22">$B83*C30</f>
        <v>  -   </v>
      </c>
      <c r="D83" s="360" t="str">
        <f t="shared" si="22"/>
        <v>  -   </v>
      </c>
      <c r="E83" s="360" t="str">
        <f t="shared" si="22"/>
        <v>  -   </v>
      </c>
      <c r="F83" s="360" t="str">
        <f t="shared" si="22"/>
        <v>  -   </v>
      </c>
      <c r="G83" s="360" t="str">
        <f t="shared" si="22"/>
        <v>  -   </v>
      </c>
      <c r="H83" s="360" t="str">
        <f t="shared" si="22"/>
        <v>  -   </v>
      </c>
      <c r="I83" s="360" t="str">
        <f t="shared" si="22"/>
        <v>  -   </v>
      </c>
    </row>
    <row r="84">
      <c r="A84" s="87" t="str">
        <f t="shared" si="1"/>
        <v/>
      </c>
      <c r="B84" s="157"/>
      <c r="C84" s="360" t="str">
        <f t="shared" ref="C84:I84" si="23">$B84*C31</f>
        <v>  -   </v>
      </c>
      <c r="D84" s="360" t="str">
        <f t="shared" si="23"/>
        <v>  -   </v>
      </c>
      <c r="E84" s="360" t="str">
        <f t="shared" si="23"/>
        <v>  -   </v>
      </c>
      <c r="F84" s="360" t="str">
        <f t="shared" si="23"/>
        <v>  -   </v>
      </c>
      <c r="G84" s="360" t="str">
        <f t="shared" si="23"/>
        <v>  -   </v>
      </c>
      <c r="H84" s="360" t="str">
        <f t="shared" si="23"/>
        <v>  -   </v>
      </c>
      <c r="I84" s="360" t="str">
        <f t="shared" si="23"/>
        <v>  -   </v>
      </c>
    </row>
    <row r="85">
      <c r="A85" s="90" t="str">
        <f t="shared" si="1"/>
        <v>Fruit  &amp; Vegetables Crop Production Details</v>
      </c>
      <c r="B85" s="157"/>
      <c r="C85" s="360"/>
      <c r="D85" s="360"/>
      <c r="E85" s="360"/>
      <c r="F85" s="360"/>
      <c r="G85" s="360"/>
      <c r="H85" s="360"/>
      <c r="I85" s="360"/>
    </row>
    <row r="86">
      <c r="A86" s="87" t="str">
        <f t="shared" si="1"/>
        <v>Onion</v>
      </c>
      <c r="B86" s="157"/>
      <c r="C86" s="360" t="str">
        <f t="shared" ref="C86:I86" si="24">$B86*C33</f>
        <v>  -   </v>
      </c>
      <c r="D86" s="360" t="str">
        <f t="shared" si="24"/>
        <v>  -   </v>
      </c>
      <c r="E86" s="360" t="str">
        <f t="shared" si="24"/>
        <v>  -   </v>
      </c>
      <c r="F86" s="360" t="str">
        <f t="shared" si="24"/>
        <v>  -   </v>
      </c>
      <c r="G86" s="360" t="str">
        <f t="shared" si="24"/>
        <v>  -   </v>
      </c>
      <c r="H86" s="360" t="str">
        <f t="shared" si="24"/>
        <v>  -   </v>
      </c>
      <c r="I86" s="360" t="str">
        <f t="shared" si="24"/>
        <v>  -   </v>
      </c>
    </row>
    <row r="87">
      <c r="A87" s="87" t="str">
        <f t="shared" si="1"/>
        <v>Tomato</v>
      </c>
      <c r="B87" s="157"/>
      <c r="C87" s="360" t="str">
        <f t="shared" ref="C87:I87" si="25">$B87*C34</f>
        <v>  -   </v>
      </c>
      <c r="D87" s="360" t="str">
        <f t="shared" si="25"/>
        <v>  -   </v>
      </c>
      <c r="E87" s="360" t="str">
        <f t="shared" si="25"/>
        <v>  -   </v>
      </c>
      <c r="F87" s="360" t="str">
        <f t="shared" si="25"/>
        <v>  -   </v>
      </c>
      <c r="G87" s="360" t="str">
        <f t="shared" si="25"/>
        <v>  -   </v>
      </c>
      <c r="H87" s="360" t="str">
        <f t="shared" si="25"/>
        <v>  -   </v>
      </c>
      <c r="I87" s="360" t="str">
        <f t="shared" si="25"/>
        <v>  -   </v>
      </c>
    </row>
    <row r="88">
      <c r="A88" s="87" t="str">
        <f t="shared" si="1"/>
        <v>Okra</v>
      </c>
      <c r="B88" s="157"/>
      <c r="C88" s="360" t="str">
        <f t="shared" ref="C88:I88" si="26">$B88*C35</f>
        <v>  -   </v>
      </c>
      <c r="D88" s="360" t="str">
        <f t="shared" si="26"/>
        <v>  -   </v>
      </c>
      <c r="E88" s="360" t="str">
        <f t="shared" si="26"/>
        <v>  -   </v>
      </c>
      <c r="F88" s="360" t="str">
        <f t="shared" si="26"/>
        <v>  -   </v>
      </c>
      <c r="G88" s="360" t="str">
        <f t="shared" si="26"/>
        <v>  -   </v>
      </c>
      <c r="H88" s="360" t="str">
        <f t="shared" si="26"/>
        <v>  -   </v>
      </c>
      <c r="I88" s="360" t="str">
        <f t="shared" si="26"/>
        <v>  -   </v>
      </c>
    </row>
    <row r="89">
      <c r="A89" s="87" t="str">
        <f t="shared" si="1"/>
        <v>Chilli</v>
      </c>
      <c r="B89" s="157"/>
      <c r="C89" s="360" t="str">
        <f t="shared" ref="C89:I89" si="27">$B89*C36</f>
        <v>  -   </v>
      </c>
      <c r="D89" s="360" t="str">
        <f t="shared" si="27"/>
        <v>  -   </v>
      </c>
      <c r="E89" s="360" t="str">
        <f t="shared" si="27"/>
        <v>  -   </v>
      </c>
      <c r="F89" s="360" t="str">
        <f t="shared" si="27"/>
        <v>  -   </v>
      </c>
      <c r="G89" s="360" t="str">
        <f t="shared" si="27"/>
        <v>  -   </v>
      </c>
      <c r="H89" s="360" t="str">
        <f t="shared" si="27"/>
        <v>  -   </v>
      </c>
      <c r="I89" s="360" t="str">
        <f t="shared" si="27"/>
        <v>  -   </v>
      </c>
    </row>
    <row r="90">
      <c r="A90" s="87" t="str">
        <f t="shared" si="1"/>
        <v>Potato</v>
      </c>
      <c r="B90" s="157"/>
      <c r="C90" s="360" t="str">
        <f t="shared" ref="C90:I90" si="28">$B90*C37</f>
        <v>  -   </v>
      </c>
      <c r="D90" s="360" t="str">
        <f t="shared" si="28"/>
        <v>  -   </v>
      </c>
      <c r="E90" s="360" t="str">
        <f t="shared" si="28"/>
        <v>  -   </v>
      </c>
      <c r="F90" s="360" t="str">
        <f t="shared" si="28"/>
        <v>  -   </v>
      </c>
      <c r="G90" s="360" t="str">
        <f t="shared" si="28"/>
        <v>  -   </v>
      </c>
      <c r="H90" s="360" t="str">
        <f t="shared" si="28"/>
        <v>  -   </v>
      </c>
      <c r="I90" s="360" t="str">
        <f t="shared" si="28"/>
        <v>  -   </v>
      </c>
    </row>
    <row r="91">
      <c r="A91" s="87" t="str">
        <f t="shared" si="1"/>
        <v/>
      </c>
      <c r="B91" s="157"/>
      <c r="C91" s="360" t="str">
        <f t="shared" ref="C91:I91" si="29">$B91*C38</f>
        <v>  -   </v>
      </c>
      <c r="D91" s="360" t="str">
        <f t="shared" si="29"/>
        <v>  -   </v>
      </c>
      <c r="E91" s="360" t="str">
        <f t="shared" si="29"/>
        <v>  -   </v>
      </c>
      <c r="F91" s="360" t="str">
        <f t="shared" si="29"/>
        <v>  -   </v>
      </c>
      <c r="G91" s="360" t="str">
        <f t="shared" si="29"/>
        <v>  -   </v>
      </c>
      <c r="H91" s="360" t="str">
        <f t="shared" si="29"/>
        <v>  -   </v>
      </c>
      <c r="I91" s="360" t="str">
        <f t="shared" si="29"/>
        <v>  -   </v>
      </c>
    </row>
    <row r="92">
      <c r="A92" s="87" t="str">
        <f t="shared" si="1"/>
        <v/>
      </c>
      <c r="B92" s="157"/>
      <c r="C92" s="360" t="str">
        <f t="shared" ref="C92:I92" si="30">$B92*C39</f>
        <v>  -   </v>
      </c>
      <c r="D92" s="360" t="str">
        <f t="shared" si="30"/>
        <v>  -   </v>
      </c>
      <c r="E92" s="360" t="str">
        <f t="shared" si="30"/>
        <v>  -   </v>
      </c>
      <c r="F92" s="360" t="str">
        <f t="shared" si="30"/>
        <v>  -   </v>
      </c>
      <c r="G92" s="360" t="str">
        <f t="shared" si="30"/>
        <v>  -   </v>
      </c>
      <c r="H92" s="360" t="str">
        <f t="shared" si="30"/>
        <v>  -   </v>
      </c>
      <c r="I92" s="360" t="str">
        <f t="shared" si="30"/>
        <v>  -   </v>
      </c>
    </row>
    <row r="93">
      <c r="A93" s="87" t="str">
        <f t="shared" si="1"/>
        <v/>
      </c>
      <c r="B93" s="157"/>
      <c r="C93" s="360" t="str">
        <f t="shared" ref="C93:I93" si="31">$B93*C40</f>
        <v>  -   </v>
      </c>
      <c r="D93" s="360" t="str">
        <f t="shared" si="31"/>
        <v>  -   </v>
      </c>
      <c r="E93" s="360" t="str">
        <f t="shared" si="31"/>
        <v>  -   </v>
      </c>
      <c r="F93" s="360" t="str">
        <f t="shared" si="31"/>
        <v>  -   </v>
      </c>
      <c r="G93" s="360" t="str">
        <f t="shared" si="31"/>
        <v>  -   </v>
      </c>
      <c r="H93" s="360" t="str">
        <f t="shared" si="31"/>
        <v>  -   </v>
      </c>
      <c r="I93" s="360" t="str">
        <f t="shared" si="31"/>
        <v>  -   </v>
      </c>
    </row>
    <row r="94">
      <c r="A94" s="87" t="str">
        <f t="shared" si="1"/>
        <v/>
      </c>
      <c r="B94" s="157"/>
      <c r="C94" s="360" t="str">
        <f t="shared" ref="C94:I94" si="32">$B94*C41</f>
        <v>  -   </v>
      </c>
      <c r="D94" s="360" t="str">
        <f t="shared" si="32"/>
        <v>  -   </v>
      </c>
      <c r="E94" s="360" t="str">
        <f t="shared" si="32"/>
        <v>  -   </v>
      </c>
      <c r="F94" s="360" t="str">
        <f t="shared" si="32"/>
        <v>  -   </v>
      </c>
      <c r="G94" s="360" t="str">
        <f t="shared" si="32"/>
        <v>  -   </v>
      </c>
      <c r="H94" s="360" t="str">
        <f t="shared" si="32"/>
        <v>  -   </v>
      </c>
      <c r="I94" s="360" t="str">
        <f t="shared" si="32"/>
        <v>  -   </v>
      </c>
    </row>
    <row r="95">
      <c r="A95" s="87" t="str">
        <f t="shared" si="1"/>
        <v>Onion</v>
      </c>
      <c r="B95" s="157"/>
      <c r="C95" s="360" t="str">
        <f t="shared" ref="C95:I95" si="33">$B95*C42</f>
        <v>  -   </v>
      </c>
      <c r="D95" s="360" t="str">
        <f t="shared" si="33"/>
        <v>  -   </v>
      </c>
      <c r="E95" s="360" t="str">
        <f t="shared" si="33"/>
        <v>  -   </v>
      </c>
      <c r="F95" s="360" t="str">
        <f t="shared" si="33"/>
        <v>  -   </v>
      </c>
      <c r="G95" s="360" t="str">
        <f t="shared" si="33"/>
        <v>  -   </v>
      </c>
      <c r="H95" s="360" t="str">
        <f t="shared" si="33"/>
        <v>  -   </v>
      </c>
      <c r="I95" s="360" t="str">
        <f t="shared" si="33"/>
        <v>  -   </v>
      </c>
    </row>
    <row r="96">
      <c r="A96" s="87" t="str">
        <f t="shared" si="1"/>
        <v>Tomato</v>
      </c>
      <c r="B96" s="157"/>
      <c r="C96" s="360" t="str">
        <f t="shared" ref="C96:I96" si="34">$B96*C43</f>
        <v>  -   </v>
      </c>
      <c r="D96" s="360" t="str">
        <f t="shared" si="34"/>
        <v>  -   </v>
      </c>
      <c r="E96" s="360" t="str">
        <f t="shared" si="34"/>
        <v>  -   </v>
      </c>
      <c r="F96" s="360" t="str">
        <f t="shared" si="34"/>
        <v>  -   </v>
      </c>
      <c r="G96" s="360" t="str">
        <f t="shared" si="34"/>
        <v>  -   </v>
      </c>
      <c r="H96" s="360" t="str">
        <f t="shared" si="34"/>
        <v>  -   </v>
      </c>
      <c r="I96" s="360" t="str">
        <f t="shared" si="34"/>
        <v>  -   </v>
      </c>
    </row>
    <row r="97">
      <c r="A97" s="87" t="str">
        <f t="shared" si="1"/>
        <v>Okra</v>
      </c>
      <c r="B97" s="157"/>
      <c r="C97" s="360" t="str">
        <f t="shared" ref="C97:I97" si="35">$B97*C44</f>
        <v>  -   </v>
      </c>
      <c r="D97" s="360" t="str">
        <f t="shared" si="35"/>
        <v>  -   </v>
      </c>
      <c r="E97" s="360" t="str">
        <f t="shared" si="35"/>
        <v>  -   </v>
      </c>
      <c r="F97" s="360" t="str">
        <f t="shared" si="35"/>
        <v>  -   </v>
      </c>
      <c r="G97" s="360" t="str">
        <f t="shared" si="35"/>
        <v>  -   </v>
      </c>
      <c r="H97" s="360" t="str">
        <f t="shared" si="35"/>
        <v>  -   </v>
      </c>
      <c r="I97" s="360" t="str">
        <f t="shared" si="35"/>
        <v>  -   </v>
      </c>
    </row>
    <row r="98">
      <c r="A98" s="87" t="str">
        <f t="shared" si="1"/>
        <v>Chilli</v>
      </c>
      <c r="B98" s="157"/>
      <c r="C98" s="360" t="str">
        <f t="shared" ref="C98:I98" si="36">$B98*C45</f>
        <v>  -   </v>
      </c>
      <c r="D98" s="360" t="str">
        <f t="shared" si="36"/>
        <v>  -   </v>
      </c>
      <c r="E98" s="360" t="str">
        <f t="shared" si="36"/>
        <v>  -   </v>
      </c>
      <c r="F98" s="360" t="str">
        <f t="shared" si="36"/>
        <v>  -   </v>
      </c>
      <c r="G98" s="360" t="str">
        <f t="shared" si="36"/>
        <v>  -   </v>
      </c>
      <c r="H98" s="360" t="str">
        <f t="shared" si="36"/>
        <v>  -   </v>
      </c>
      <c r="I98" s="360" t="str">
        <f t="shared" si="36"/>
        <v>  -   </v>
      </c>
    </row>
    <row r="99">
      <c r="A99" s="87" t="str">
        <f t="shared" si="1"/>
        <v>Brinjal</v>
      </c>
      <c r="B99" s="157"/>
      <c r="C99" s="360" t="str">
        <f t="shared" ref="C99:I99" si="37">$B99*C46</f>
        <v>  -   </v>
      </c>
      <c r="D99" s="360" t="str">
        <f t="shared" si="37"/>
        <v>  -   </v>
      </c>
      <c r="E99" s="360" t="str">
        <f t="shared" si="37"/>
        <v>  -   </v>
      </c>
      <c r="F99" s="360" t="str">
        <f t="shared" si="37"/>
        <v>  -   </v>
      </c>
      <c r="G99" s="360" t="str">
        <f t="shared" si="37"/>
        <v>  -   </v>
      </c>
      <c r="H99" s="360" t="str">
        <f t="shared" si="37"/>
        <v>  -   </v>
      </c>
      <c r="I99" s="360" t="str">
        <f t="shared" si="37"/>
        <v>  -   </v>
      </c>
    </row>
    <row r="100">
      <c r="A100" s="87" t="str">
        <f t="shared" si="1"/>
        <v/>
      </c>
      <c r="B100" s="157"/>
      <c r="C100" s="360" t="str">
        <f t="shared" ref="C100:I100" si="38">$B100*C47</f>
        <v>  -   </v>
      </c>
      <c r="D100" s="360" t="str">
        <f t="shared" si="38"/>
        <v>  -   </v>
      </c>
      <c r="E100" s="360" t="str">
        <f t="shared" si="38"/>
        <v>  -   </v>
      </c>
      <c r="F100" s="360" t="str">
        <f t="shared" si="38"/>
        <v>  -   </v>
      </c>
      <c r="G100" s="360" t="str">
        <f t="shared" si="38"/>
        <v>  -   </v>
      </c>
      <c r="H100" s="360" t="str">
        <f t="shared" si="38"/>
        <v>  -   </v>
      </c>
      <c r="I100" s="360" t="str">
        <f t="shared" si="38"/>
        <v>  -   </v>
      </c>
    </row>
    <row r="101">
      <c r="A101" s="87" t="str">
        <f t="shared" si="1"/>
        <v/>
      </c>
      <c r="B101" s="157"/>
      <c r="C101" s="360" t="str">
        <f t="shared" ref="C101:I101" si="39">$B101*C48</f>
        <v>  -   </v>
      </c>
      <c r="D101" s="360" t="str">
        <f t="shared" si="39"/>
        <v>  -   </v>
      </c>
      <c r="E101" s="360" t="str">
        <f t="shared" si="39"/>
        <v>  -   </v>
      </c>
      <c r="F101" s="360" t="str">
        <f t="shared" si="39"/>
        <v>  -   </v>
      </c>
      <c r="G101" s="360" t="str">
        <f t="shared" si="39"/>
        <v>  -   </v>
      </c>
      <c r="H101" s="360" t="str">
        <f t="shared" si="39"/>
        <v>  -   </v>
      </c>
      <c r="I101" s="360" t="str">
        <f t="shared" si="39"/>
        <v>  -   </v>
      </c>
    </row>
    <row r="102">
      <c r="A102" s="87" t="str">
        <f t="shared" si="1"/>
        <v/>
      </c>
      <c r="B102" s="157"/>
      <c r="C102" s="360" t="str">
        <f t="shared" ref="C102:I102" si="40">$B102*C49</f>
        <v>  -   </v>
      </c>
      <c r="D102" s="360" t="str">
        <f t="shared" si="40"/>
        <v>  -   </v>
      </c>
      <c r="E102" s="360" t="str">
        <f t="shared" si="40"/>
        <v>  -   </v>
      </c>
      <c r="F102" s="360" t="str">
        <f t="shared" si="40"/>
        <v>  -   </v>
      </c>
      <c r="G102" s="360" t="str">
        <f t="shared" si="40"/>
        <v>  -   </v>
      </c>
      <c r="H102" s="360" t="str">
        <f t="shared" si="40"/>
        <v>  -   </v>
      </c>
      <c r="I102" s="360" t="str">
        <f t="shared" si="40"/>
        <v>  -   </v>
      </c>
    </row>
    <row r="103">
      <c r="A103" s="87" t="str">
        <f t="shared" si="1"/>
        <v/>
      </c>
      <c r="B103" s="157"/>
      <c r="C103" s="360" t="str">
        <f t="shared" ref="C103:I103" si="41">$B103*C50</f>
        <v>  -   </v>
      </c>
      <c r="D103" s="360" t="str">
        <f t="shared" si="41"/>
        <v>  -   </v>
      </c>
      <c r="E103" s="360" t="str">
        <f t="shared" si="41"/>
        <v>  -   </v>
      </c>
      <c r="F103" s="360" t="str">
        <f t="shared" si="41"/>
        <v>  -   </v>
      </c>
      <c r="G103" s="360" t="str">
        <f t="shared" si="41"/>
        <v>  -   </v>
      </c>
      <c r="H103" s="360" t="str">
        <f t="shared" si="41"/>
        <v>  -   </v>
      </c>
      <c r="I103" s="360" t="str">
        <f t="shared" si="41"/>
        <v>  -   </v>
      </c>
    </row>
    <row r="104">
      <c r="A104" s="87" t="str">
        <f t="shared" si="1"/>
        <v/>
      </c>
      <c r="B104" s="157"/>
      <c r="C104" s="360" t="str">
        <f t="shared" ref="C104:I104" si="42">$B104*C51</f>
        <v>  -   </v>
      </c>
      <c r="D104" s="360" t="str">
        <f t="shared" si="42"/>
        <v>  -   </v>
      </c>
      <c r="E104" s="360" t="str">
        <f t="shared" si="42"/>
        <v>  -   </v>
      </c>
      <c r="F104" s="360" t="str">
        <f t="shared" si="42"/>
        <v>  -   </v>
      </c>
      <c r="G104" s="360" t="str">
        <f t="shared" si="42"/>
        <v>  -   </v>
      </c>
      <c r="H104" s="360" t="str">
        <f t="shared" si="42"/>
        <v>  -   </v>
      </c>
      <c r="I104" s="360" t="str">
        <f t="shared" si="42"/>
        <v>  -   </v>
      </c>
    </row>
    <row r="105">
      <c r="A105" s="87" t="str">
        <f t="shared" si="1"/>
        <v/>
      </c>
      <c r="B105" s="157"/>
      <c r="C105" s="360" t="str">
        <f t="shared" ref="C105:I105" si="43">$B105*C52</f>
        <v>  -   </v>
      </c>
      <c r="D105" s="360" t="str">
        <f t="shared" si="43"/>
        <v>  -   </v>
      </c>
      <c r="E105" s="360" t="str">
        <f t="shared" si="43"/>
        <v>  -   </v>
      </c>
      <c r="F105" s="360" t="str">
        <f t="shared" si="43"/>
        <v>  -   </v>
      </c>
      <c r="G105" s="360" t="str">
        <f t="shared" si="43"/>
        <v>  -   </v>
      </c>
      <c r="H105" s="360" t="str">
        <f t="shared" si="43"/>
        <v>  -   </v>
      </c>
      <c r="I105" s="360" t="str">
        <f t="shared" si="43"/>
        <v>  -   </v>
      </c>
    </row>
    <row r="106">
      <c r="A106" s="87" t="str">
        <f t="shared" si="1"/>
        <v/>
      </c>
      <c r="B106" s="157"/>
      <c r="C106" s="360" t="str">
        <f t="shared" ref="C106:I106" si="44">$B106*C53</f>
        <v>  -   </v>
      </c>
      <c r="D106" s="360" t="str">
        <f t="shared" si="44"/>
        <v>  -   </v>
      </c>
      <c r="E106" s="360" t="str">
        <f t="shared" si="44"/>
        <v>  -   </v>
      </c>
      <c r="F106" s="360" t="str">
        <f t="shared" si="44"/>
        <v>  -   </v>
      </c>
      <c r="G106" s="360" t="str">
        <f t="shared" si="44"/>
        <v>  -   </v>
      </c>
      <c r="H106" s="360" t="str">
        <f t="shared" si="44"/>
        <v>  -   </v>
      </c>
      <c r="I106" s="360" t="str">
        <f t="shared" si="44"/>
        <v>  -   </v>
      </c>
    </row>
    <row r="107">
      <c r="A107" s="87" t="str">
        <f t="shared" si="1"/>
        <v>Pomegranate</v>
      </c>
      <c r="B107" s="157"/>
      <c r="C107" s="360" t="str">
        <f t="shared" ref="C107:I107" si="45">$B107*C54</f>
        <v>  -   </v>
      </c>
      <c r="D107" s="360" t="str">
        <f t="shared" si="45"/>
        <v>  -   </v>
      </c>
      <c r="E107" s="360" t="str">
        <f t="shared" si="45"/>
        <v>  -   </v>
      </c>
      <c r="F107" s="360" t="str">
        <f t="shared" si="45"/>
        <v>  -   </v>
      </c>
      <c r="G107" s="360" t="str">
        <f t="shared" si="45"/>
        <v>  -   </v>
      </c>
      <c r="H107" s="360" t="str">
        <f t="shared" si="45"/>
        <v>  -   </v>
      </c>
      <c r="I107" s="360" t="str">
        <f t="shared" si="45"/>
        <v>  -   </v>
      </c>
    </row>
    <row r="108">
      <c r="A108" s="87" t="str">
        <f t="shared" si="1"/>
        <v>Custard Apple</v>
      </c>
      <c r="B108" s="157"/>
      <c r="C108" s="360" t="str">
        <f t="shared" ref="C108:I108" si="46">$B108*C55</f>
        <v>  -   </v>
      </c>
      <c r="D108" s="360" t="str">
        <f t="shared" si="46"/>
        <v>  -   </v>
      </c>
      <c r="E108" s="360" t="str">
        <f t="shared" si="46"/>
        <v>  -   </v>
      </c>
      <c r="F108" s="360" t="str">
        <f t="shared" si="46"/>
        <v>  -   </v>
      </c>
      <c r="G108" s="360" t="str">
        <f t="shared" si="46"/>
        <v>  -   </v>
      </c>
      <c r="H108" s="360" t="str">
        <f t="shared" si="46"/>
        <v>  -   </v>
      </c>
      <c r="I108" s="360" t="str">
        <f t="shared" si="46"/>
        <v>  -   </v>
      </c>
    </row>
    <row r="109">
      <c r="A109" s="87" t="str">
        <f t="shared" si="1"/>
        <v>Guava</v>
      </c>
      <c r="B109" s="157"/>
      <c r="C109" s="360" t="str">
        <f t="shared" ref="C109:I109" si="47">$B109*C56</f>
        <v>  -   </v>
      </c>
      <c r="D109" s="360" t="str">
        <f t="shared" si="47"/>
        <v>  -   </v>
      </c>
      <c r="E109" s="360" t="str">
        <f t="shared" si="47"/>
        <v>  -   </v>
      </c>
      <c r="F109" s="360" t="str">
        <f t="shared" si="47"/>
        <v>  -   </v>
      </c>
      <c r="G109" s="360" t="str">
        <f t="shared" si="47"/>
        <v>  -   </v>
      </c>
      <c r="H109" s="360" t="str">
        <f t="shared" si="47"/>
        <v>  -   </v>
      </c>
      <c r="I109" s="360" t="str">
        <f t="shared" si="47"/>
        <v>  -   </v>
      </c>
    </row>
    <row r="110">
      <c r="A110" s="87" t="str">
        <f t="shared" si="1"/>
        <v>Citrus</v>
      </c>
      <c r="B110" s="157"/>
      <c r="C110" s="360" t="str">
        <f t="shared" ref="C110:I110" si="48">$B110*C57</f>
        <v>  -   </v>
      </c>
      <c r="D110" s="360" t="str">
        <f t="shared" si="48"/>
        <v>  -   </v>
      </c>
      <c r="E110" s="360" t="str">
        <f t="shared" si="48"/>
        <v>  -   </v>
      </c>
      <c r="F110" s="360" t="str">
        <f t="shared" si="48"/>
        <v>  -   </v>
      </c>
      <c r="G110" s="360" t="str">
        <f t="shared" si="48"/>
        <v>  -   </v>
      </c>
      <c r="H110" s="360" t="str">
        <f t="shared" si="48"/>
        <v>  -   </v>
      </c>
      <c r="I110" s="360" t="str">
        <f t="shared" si="48"/>
        <v>  -   </v>
      </c>
    </row>
    <row r="111">
      <c r="A111" s="87"/>
      <c r="B111" s="157"/>
      <c r="C111" s="360"/>
      <c r="D111" s="360"/>
      <c r="E111" s="360"/>
      <c r="F111" s="360"/>
      <c r="G111" s="360"/>
      <c r="H111" s="360"/>
      <c r="I111" s="360"/>
    </row>
    <row r="112">
      <c r="A112" s="87"/>
      <c r="B112" s="157"/>
      <c r="C112" s="360"/>
      <c r="D112" s="360"/>
      <c r="E112" s="360"/>
      <c r="F112" s="360"/>
      <c r="G112" s="360"/>
      <c r="H112" s="360"/>
      <c r="I112" s="360"/>
    </row>
    <row r="113">
      <c r="A113" s="90" t="s">
        <v>707</v>
      </c>
      <c r="B113" s="87"/>
      <c r="C113" s="87"/>
      <c r="D113" s="87"/>
      <c r="E113" s="87"/>
      <c r="F113" s="87"/>
      <c r="G113" s="87"/>
      <c r="H113" s="87"/>
      <c r="I113" s="87"/>
    </row>
    <row r="114">
      <c r="A114" s="87" t="s">
        <v>708</v>
      </c>
      <c r="B114" s="157">
        <v>100.0</v>
      </c>
      <c r="C114" s="360" t="str">
        <f t="shared" ref="C114:I114" si="49">SUM(C62:C110)*$B$114</f>
        <v>  -   </v>
      </c>
      <c r="D114" s="360" t="str">
        <f t="shared" si="49"/>
        <v>  -   </v>
      </c>
      <c r="E114" s="360" t="str">
        <f t="shared" si="49"/>
        <v>  -   </v>
      </c>
      <c r="F114" s="360" t="str">
        <f t="shared" si="49"/>
        <v>  -   </v>
      </c>
      <c r="G114" s="360" t="str">
        <f t="shared" si="49"/>
        <v>  -   </v>
      </c>
      <c r="H114" s="360" t="str">
        <f t="shared" si="49"/>
        <v>  -   </v>
      </c>
      <c r="I114" s="360" t="str">
        <f t="shared" si="49"/>
        <v>  -   </v>
      </c>
    </row>
    <row r="115">
      <c r="A115" s="87" t="s">
        <v>709</v>
      </c>
      <c r="B115" s="157">
        <v>30.0</v>
      </c>
      <c r="C115" s="360" t="str">
        <f t="shared" ref="C115:I115" si="50">SUM(C62:C110)*$B$115</f>
        <v>  -   </v>
      </c>
      <c r="D115" s="360" t="str">
        <f t="shared" si="50"/>
        <v>  -   </v>
      </c>
      <c r="E115" s="360" t="str">
        <f t="shared" si="50"/>
        <v>  -   </v>
      </c>
      <c r="F115" s="360" t="str">
        <f t="shared" si="50"/>
        <v>  -   </v>
      </c>
      <c r="G115" s="360" t="str">
        <f t="shared" si="50"/>
        <v>  -   </v>
      </c>
      <c r="H115" s="360" t="str">
        <f t="shared" si="50"/>
        <v>  -   </v>
      </c>
      <c r="I115" s="360" t="str">
        <f t="shared" si="50"/>
        <v>  -   </v>
      </c>
    </row>
    <row r="116">
      <c r="A116" s="87" t="s">
        <v>710</v>
      </c>
      <c r="B116" s="157">
        <v>30.0</v>
      </c>
      <c r="C116" s="360" t="str">
        <f t="shared" ref="C116:I116" si="51">SUM(C62:C110)*$B$116</f>
        <v>  -   </v>
      </c>
      <c r="D116" s="360" t="str">
        <f t="shared" si="51"/>
        <v>  -   </v>
      </c>
      <c r="E116" s="360" t="str">
        <f t="shared" si="51"/>
        <v>  -   </v>
      </c>
      <c r="F116" s="360" t="str">
        <f t="shared" si="51"/>
        <v>  -   </v>
      </c>
      <c r="G116" s="360" t="str">
        <f t="shared" si="51"/>
        <v>  -   </v>
      </c>
      <c r="H116" s="360" t="str">
        <f t="shared" si="51"/>
        <v>  -   </v>
      </c>
      <c r="I116" s="360" t="str">
        <f t="shared" si="51"/>
        <v>  -   </v>
      </c>
    </row>
    <row r="117">
      <c r="A117" s="90" t="s">
        <v>711</v>
      </c>
      <c r="B117" s="157"/>
      <c r="C117" s="87"/>
      <c r="D117" s="87"/>
      <c r="E117" s="87"/>
      <c r="F117" s="87"/>
      <c r="G117" s="87"/>
      <c r="H117" s="87"/>
      <c r="I117" s="87"/>
    </row>
    <row r="118">
      <c r="A118" s="87" t="s">
        <v>712</v>
      </c>
      <c r="B118" s="157">
        <v>0.2</v>
      </c>
      <c r="C118" s="360" t="str">
        <f t="shared" ref="C118:I118" si="52">SUM(C62:C110)*$B$118</f>
        <v>  -   </v>
      </c>
      <c r="D118" s="360" t="str">
        <f t="shared" si="52"/>
        <v>  -   </v>
      </c>
      <c r="E118" s="360" t="str">
        <f t="shared" si="52"/>
        <v>  -   </v>
      </c>
      <c r="F118" s="360" t="str">
        <f t="shared" si="52"/>
        <v>  -   </v>
      </c>
      <c r="G118" s="360" t="str">
        <f t="shared" si="52"/>
        <v>  -   </v>
      </c>
      <c r="H118" s="360" t="str">
        <f t="shared" si="52"/>
        <v>  -   </v>
      </c>
      <c r="I118" s="360" t="str">
        <f t="shared" si="52"/>
        <v>  -   </v>
      </c>
    </row>
    <row r="119">
      <c r="A119" s="87" t="s">
        <v>713</v>
      </c>
      <c r="B119" s="157">
        <v>0.5</v>
      </c>
      <c r="C119" s="360" t="str">
        <f t="shared" ref="C119:I119" si="53">SUM(C62:C110)*$B$119</f>
        <v>  -   </v>
      </c>
      <c r="D119" s="360" t="str">
        <f t="shared" si="53"/>
        <v>  -   </v>
      </c>
      <c r="E119" s="360" t="str">
        <f t="shared" si="53"/>
        <v>  -   </v>
      </c>
      <c r="F119" s="360" t="str">
        <f t="shared" si="53"/>
        <v>  -   </v>
      </c>
      <c r="G119" s="360" t="str">
        <f t="shared" si="53"/>
        <v>  -   </v>
      </c>
      <c r="H119" s="360" t="str">
        <f t="shared" si="53"/>
        <v>  -   </v>
      </c>
      <c r="I119" s="360" t="str">
        <f t="shared" si="53"/>
        <v>  -   </v>
      </c>
    </row>
    <row r="122">
      <c r="A122" s="25" t="s">
        <v>714</v>
      </c>
    </row>
    <row r="123">
      <c r="A123" s="45"/>
      <c r="B123" s="45"/>
      <c r="C123" s="45"/>
      <c r="D123" s="45"/>
      <c r="E123" s="45"/>
      <c r="F123" s="45"/>
      <c r="G123" s="45"/>
      <c r="H123" s="45"/>
    </row>
    <row r="124">
      <c r="A124" s="362"/>
      <c r="B124" s="362"/>
      <c r="C124" s="362"/>
      <c r="D124" s="363">
        <v>1.0</v>
      </c>
      <c r="E124" s="364" t="str">
        <f t="shared" ref="E124:J124" si="54">(D124*5%)+D124</f>
        <v>105.00%</v>
      </c>
      <c r="F124" s="364" t="str">
        <f t="shared" si="54"/>
        <v>110.25%</v>
      </c>
      <c r="G124" s="364" t="str">
        <f t="shared" si="54"/>
        <v>115.76%</v>
      </c>
      <c r="H124" s="364" t="str">
        <f t="shared" si="54"/>
        <v>121.55%</v>
      </c>
      <c r="I124" s="364" t="str">
        <f t="shared" si="54"/>
        <v>127.63%</v>
      </c>
      <c r="J124" s="364" t="str">
        <f t="shared" si="54"/>
        <v>134.01%</v>
      </c>
      <c r="K124" s="93"/>
      <c r="U124" s="93"/>
      <c r="V124" s="93"/>
      <c r="W124" s="93"/>
    </row>
    <row r="125">
      <c r="A125" s="93"/>
      <c r="B125" s="93"/>
      <c r="C125" s="93"/>
      <c r="D125" s="93"/>
      <c r="E125" s="93"/>
      <c r="F125" s="93"/>
      <c r="G125" s="93"/>
      <c r="H125" s="93"/>
      <c r="I125" s="93"/>
      <c r="J125" s="93"/>
      <c r="K125" s="93"/>
      <c r="U125" s="93"/>
      <c r="V125" s="93"/>
      <c r="W125" s="93"/>
    </row>
    <row r="126">
      <c r="A126" s="197" t="s">
        <v>156</v>
      </c>
      <c r="B126" s="197" t="s">
        <v>206</v>
      </c>
      <c r="C126" s="197" t="s">
        <v>220</v>
      </c>
      <c r="D126" s="198" t="s">
        <v>137</v>
      </c>
      <c r="E126" s="198" t="s">
        <v>138</v>
      </c>
      <c r="F126" s="198" t="s">
        <v>139</v>
      </c>
      <c r="G126" s="198" t="s">
        <v>140</v>
      </c>
      <c r="H126" s="198" t="s">
        <v>141</v>
      </c>
      <c r="I126" s="198" t="s">
        <v>142</v>
      </c>
      <c r="J126" s="198" t="s">
        <v>143</v>
      </c>
      <c r="K126" s="93"/>
      <c r="U126" s="93"/>
      <c r="V126" s="93"/>
      <c r="W126" s="93"/>
    </row>
    <row r="127">
      <c r="A127" s="90" t="s">
        <v>448</v>
      </c>
      <c r="B127" s="87"/>
      <c r="C127" s="87"/>
      <c r="D127" s="87"/>
      <c r="E127" s="87"/>
      <c r="F127" s="87"/>
      <c r="G127" s="87"/>
      <c r="H127" s="87"/>
      <c r="I127" s="87"/>
      <c r="J127" s="87"/>
      <c r="K127" s="93"/>
      <c r="U127" s="93"/>
      <c r="V127" s="93"/>
      <c r="W127" s="93"/>
    </row>
    <row r="128">
      <c r="A128" s="87" t="s">
        <v>715</v>
      </c>
      <c r="B128" s="87"/>
      <c r="C128" s="87"/>
      <c r="D128" s="87"/>
      <c r="E128" s="87"/>
      <c r="F128" s="87"/>
      <c r="G128" s="87"/>
      <c r="H128" s="87"/>
      <c r="I128" s="87"/>
      <c r="J128" s="87"/>
      <c r="K128" s="93"/>
      <c r="U128" s="93"/>
      <c r="V128" s="93"/>
      <c r="W128" s="93"/>
    </row>
    <row r="129">
      <c r="A129" s="90" t="str">
        <f t="shared" ref="A129:A179" si="55">A8</f>
        <v>Kharif Crops</v>
      </c>
      <c r="B129" s="87"/>
      <c r="C129" s="87"/>
      <c r="D129" s="87"/>
      <c r="E129" s="87"/>
      <c r="F129" s="87"/>
      <c r="G129" s="87"/>
      <c r="H129" s="87"/>
      <c r="I129" s="87"/>
      <c r="J129" s="87"/>
      <c r="K129" s="93"/>
      <c r="U129" s="93"/>
      <c r="V129" s="93"/>
      <c r="W129" s="93"/>
    </row>
    <row r="130">
      <c r="A130" s="87" t="str">
        <f t="shared" si="55"/>
        <v>Soybean</v>
      </c>
      <c r="B130" s="87"/>
      <c r="C130" s="157">
        <v>90.0</v>
      </c>
      <c r="D130" s="88" t="str">
        <f>(C62*(1-'5.Closing Stock &amp; W Capital'!$D$15))*$C$130*D$124</f>
        <v>  -   </v>
      </c>
      <c r="E130" s="88" t="str">
        <f>(D62*(1-'5.Closing Stock &amp; W Capital'!$D$15))*$C$130*E$124</f>
        <v>  -   </v>
      </c>
      <c r="F130" s="88" t="str">
        <f>(E62*(1-'5.Closing Stock &amp; W Capital'!$D$15))*$C$130*F$124</f>
        <v>  -   </v>
      </c>
      <c r="G130" s="88" t="str">
        <f>(F62*(1-'5.Closing Stock &amp; W Capital'!$D$15))*$C$130*G$124</f>
        <v>  -   </v>
      </c>
      <c r="H130" s="88" t="str">
        <f>(G62*(1-'5.Closing Stock &amp; W Capital'!$D$15))*$C$130*H$124</f>
        <v>  -   </v>
      </c>
      <c r="I130" s="88" t="str">
        <f>(H62*(1-'5.Closing Stock &amp; W Capital'!$D$15))*$C$130*I$124</f>
        <v>  -   </v>
      </c>
      <c r="J130" s="88" t="str">
        <f>(I62*(1-'5.Closing Stock &amp; W Capital'!$D$15))*$C$130*J$124</f>
        <v>  -   </v>
      </c>
      <c r="K130" s="93"/>
      <c r="U130" s="93"/>
      <c r="V130" s="93"/>
      <c r="W130" s="93"/>
    </row>
    <row r="131">
      <c r="A131" s="87" t="str">
        <f t="shared" si="55"/>
        <v>Red Gram/Tur</v>
      </c>
      <c r="B131" s="87"/>
      <c r="C131" s="391">
        <v>80.0</v>
      </c>
      <c r="D131" s="88" t="str">
        <f>(C63*(1-'5.Closing Stock &amp; W Capital'!$D$15))*$C$131*D$124</f>
        <v>  -   </v>
      </c>
      <c r="E131" s="88" t="str">
        <f>((D63*(1-'5.Closing Stock &amp; W Capital'!$D$15))+(C63*'5.Closing Stock &amp; W Capital'!$D$15))*$C$131*E$124</f>
        <v>  -   </v>
      </c>
      <c r="F131" s="88" t="str">
        <f>((E63*(1-'5.Closing Stock &amp; W Capital'!$D$15))+(D63*'5.Closing Stock &amp; W Capital'!$D$15))*$C$131*F$124</f>
        <v>  -   </v>
      </c>
      <c r="G131" s="88" t="str">
        <f>((F63*(1-'5.Closing Stock &amp; W Capital'!$D$15))+(E63*'5.Closing Stock &amp; W Capital'!$D$15))*$C$131*G124</f>
        <v>  -   </v>
      </c>
      <c r="H131" s="88" t="str">
        <f>((G63*(1-'5.Closing Stock &amp; W Capital'!$D$15))+(F63*'5.Closing Stock &amp; W Capital'!$D$15))*$C$131*H124</f>
        <v>  -   </v>
      </c>
      <c r="I131" s="88" t="str">
        <f>((H63*(1-'5.Closing Stock &amp; W Capital'!$D$15))+(G63*'5.Closing Stock &amp; W Capital'!$D$15))*$C$131*I124</f>
        <v>  -   </v>
      </c>
      <c r="J131" s="88" t="str">
        <f>((I63*(1-'5.Closing Stock &amp; W Capital'!$D$15))+(H63*'5.Closing Stock &amp; W Capital'!$D$15))*$C$131*J124</f>
        <v>  -   </v>
      </c>
      <c r="K131" s="93"/>
      <c r="U131" s="195"/>
      <c r="V131" s="93"/>
      <c r="W131" s="93"/>
    </row>
    <row r="132">
      <c r="A132" s="87" t="str">
        <f t="shared" si="55"/>
        <v>Paddy/Rice</v>
      </c>
      <c r="B132" s="87"/>
      <c r="C132" s="391">
        <v>65.0</v>
      </c>
      <c r="D132" s="88" t="str">
        <f>(C64*(1-'5.Closing Stock &amp; W Capital'!$D$15))*$C$132*D$124</f>
        <v>  -   </v>
      </c>
      <c r="E132" s="88" t="str">
        <f>((D64*(1-'5.Closing Stock &amp; W Capital'!$D$15))+(C64*'5.Closing Stock &amp; W Capital'!$D$15))*$C$132*E$124</f>
        <v>  -   </v>
      </c>
      <c r="F132" s="88" t="str">
        <f>((E64*(1-'5.Closing Stock &amp; W Capital'!$D$15))+(D64*'5.Closing Stock &amp; W Capital'!$D$15))*$C$132*F$124</f>
        <v>  -   </v>
      </c>
      <c r="G132" s="88" t="str">
        <f>((F64*(1-'5.Closing Stock &amp; W Capital'!$D$15))+(E64*'5.Closing Stock &amp; W Capital'!$D$15))*$C$132*G124</f>
        <v>  -   </v>
      </c>
      <c r="H132" s="88" t="str">
        <f>((G64*(1-'5.Closing Stock &amp; W Capital'!$D$15))+(F64*'5.Closing Stock &amp; W Capital'!$D$15))*$C$132*H124</f>
        <v>  -   </v>
      </c>
      <c r="I132" s="88" t="str">
        <f>((H64*(1-'5.Closing Stock &amp; W Capital'!$D$15))+(G64*'5.Closing Stock &amp; W Capital'!$D$15))*$C$132*I124</f>
        <v>  -   </v>
      </c>
      <c r="J132" s="88" t="str">
        <f>((I64*(1-'5.Closing Stock &amp; W Capital'!$D$15))+(H64*'5.Closing Stock &amp; W Capital'!$D$15))*$C$132*J124</f>
        <v>  -   </v>
      </c>
      <c r="K132" s="93"/>
      <c r="U132" s="93"/>
      <c r="V132" s="93"/>
      <c r="W132" s="93"/>
    </row>
    <row r="133">
      <c r="A133" s="87" t="str">
        <f t="shared" si="55"/>
        <v>Green Gram/ Moong</v>
      </c>
      <c r="B133" s="87"/>
      <c r="C133" s="391">
        <v>85.0</v>
      </c>
      <c r="D133" s="88" t="str">
        <f>(C65*(1-'5.Closing Stock &amp; W Capital'!$D$15))*$C$133*D$124</f>
        <v>  -   </v>
      </c>
      <c r="E133" s="88" t="str">
        <f>((D65*(1-'5.Closing Stock &amp; W Capital'!$D$15))+(C65*'5.Closing Stock &amp; W Capital'!$D$15))*$C$133*E$124</f>
        <v>  -   </v>
      </c>
      <c r="F133" s="88" t="str">
        <f>((E65*(1-'5.Closing Stock &amp; W Capital'!$D$15))+(D65*'5.Closing Stock &amp; W Capital'!$D$15))*$C$133*F$124</f>
        <v>  -   </v>
      </c>
      <c r="G133" s="88" t="str">
        <f>((F65*(1-'5.Closing Stock &amp; W Capital'!$D$15))+(E65*'5.Closing Stock &amp; W Capital'!$D$15))*$C$133*G$124</f>
        <v>  -   </v>
      </c>
      <c r="H133" s="88" t="str">
        <f>((G65*(1-'5.Closing Stock &amp; W Capital'!$D$15))+(F65*'5.Closing Stock &amp; W Capital'!$D$15))*$C$133*H$124</f>
        <v>  -   </v>
      </c>
      <c r="I133" s="88" t="str">
        <f>((H65*(1-'5.Closing Stock &amp; W Capital'!$D$15))+(G65*'5.Closing Stock &amp; W Capital'!$D$15))*$C$133*I$124</f>
        <v>  -   </v>
      </c>
      <c r="J133" s="88" t="str">
        <f>((I65*(1-'5.Closing Stock &amp; W Capital'!$D$15))+(H65*'5.Closing Stock &amp; W Capital'!$D$15))*$C$133*J$124</f>
        <v>  -   </v>
      </c>
      <c r="K133" s="93"/>
      <c r="U133" s="93"/>
      <c r="V133" s="93"/>
      <c r="W133" s="93"/>
    </row>
    <row r="134">
      <c r="A134" s="87" t="str">
        <f t="shared" si="55"/>
        <v>Maize</v>
      </c>
      <c r="B134" s="87"/>
      <c r="C134" s="391">
        <v>37.0</v>
      </c>
      <c r="D134" s="88" t="str">
        <f>(C66*(1-'5.Closing Stock &amp; W Capital'!$D$15))*$C$134*D$124</f>
        <v>  -   </v>
      </c>
      <c r="E134" s="88" t="str">
        <f>((D66*(1-'5.Closing Stock &amp; W Capital'!$D$15))+(C66*'5.Closing Stock &amp; W Capital'!$D$15))*$C$135*E$124</f>
        <v>  -   </v>
      </c>
      <c r="F134" s="88" t="str">
        <f>((E66*(1-'5.Closing Stock &amp; W Capital'!$D$15))+(D66*'5.Closing Stock &amp; W Capital'!$D$15))*$C$135*F$124</f>
        <v>  -   </v>
      </c>
      <c r="G134" s="88" t="str">
        <f>((F66*(1-'5.Closing Stock &amp; W Capital'!$D$15))+(E66*'5.Closing Stock &amp; W Capital'!$D$15))*$C$135*G$124</f>
        <v>  -   </v>
      </c>
      <c r="H134" s="88" t="str">
        <f>((G66*(1-'5.Closing Stock &amp; W Capital'!$D$15))+(F66*'5.Closing Stock &amp; W Capital'!$D$15))*$C$135*H$124</f>
        <v>  -   </v>
      </c>
      <c r="I134" s="88" t="str">
        <f>((H66*(1-'5.Closing Stock &amp; W Capital'!$D$15))+(G66*'5.Closing Stock &amp; W Capital'!$D$15))*$C$135*I$124</f>
        <v>  -   </v>
      </c>
      <c r="J134" s="88" t="str">
        <f>((I66*(1-'5.Closing Stock &amp; W Capital'!$D$15))+(H66*'5.Closing Stock &amp; W Capital'!$D$15))*$C$135*J$124</f>
        <v>  -   </v>
      </c>
      <c r="K134" s="93"/>
      <c r="U134" s="93"/>
      <c r="V134" s="93"/>
      <c r="W134" s="93"/>
    </row>
    <row r="135">
      <c r="A135" s="87" t="str">
        <f t="shared" si="55"/>
        <v>Black Gram/Udid</v>
      </c>
      <c r="B135" s="87"/>
      <c r="C135" s="391">
        <v>75.0</v>
      </c>
      <c r="D135" s="88" t="str">
        <f>(C67*(1-'5.Closing Stock &amp; W Capital'!$D$15))*$C$135*D$124</f>
        <v>  -   </v>
      </c>
      <c r="E135" s="88" t="str">
        <f>((D67*(1-'5.Closing Stock &amp; W Capital'!$D$15))+(C67*'5.Closing Stock &amp; W Capital'!$D$15))*$C$135*E$124</f>
        <v>  -   </v>
      </c>
      <c r="F135" s="88" t="str">
        <f>((E67*(1-'5.Closing Stock &amp; W Capital'!$D$15))+(D67*'5.Closing Stock &amp; W Capital'!$D$15))*$C$135*F$124</f>
        <v>  -   </v>
      </c>
      <c r="G135" s="88" t="str">
        <f>((F67*(1-'5.Closing Stock &amp; W Capital'!$D$15))+(E67*'5.Closing Stock &amp; W Capital'!$D$15))*$C$135*G$124</f>
        <v>  -   </v>
      </c>
      <c r="H135" s="88" t="str">
        <f>((G67*(1-'5.Closing Stock &amp; W Capital'!$D$15))+(F67*'5.Closing Stock &amp; W Capital'!$D$15))*$C$135*H$124</f>
        <v>  -   </v>
      </c>
      <c r="I135" s="88" t="str">
        <f>((H67*(1-'5.Closing Stock &amp; W Capital'!$D$15))+(G67*'5.Closing Stock &amp; W Capital'!$D$15))*$C$135*I$124</f>
        <v>  -   </v>
      </c>
      <c r="J135" s="88" t="str">
        <f>((I67*(1-'5.Closing Stock &amp; W Capital'!$D$15))+(H67*'5.Closing Stock &amp; W Capital'!$D$15))*$C$135*J$124</f>
        <v>  -   </v>
      </c>
      <c r="K135" s="93"/>
      <c r="U135" s="93"/>
      <c r="V135" s="93"/>
      <c r="W135" s="93"/>
    </row>
    <row r="136">
      <c r="A136" s="87" t="str">
        <f t="shared" si="55"/>
        <v>Bajra</v>
      </c>
      <c r="B136" s="87"/>
      <c r="C136" s="391">
        <v>30.0</v>
      </c>
      <c r="D136" s="88" t="str">
        <f>(C68*(1-'5.Closing Stock &amp; W Capital'!$D$15))*$C$136*D$124</f>
        <v>  -   </v>
      </c>
      <c r="E136" s="88" t="str">
        <f>((D68*(1-'5.Closing Stock &amp; W Capital'!$D$15))+(C68*'5.Closing Stock &amp; W Capital'!$D$15))*$C$136*E$124</f>
        <v>  -   </v>
      </c>
      <c r="F136" s="88" t="str">
        <f>((E68*(1-'5.Closing Stock &amp; W Capital'!$D$15))+(D68*'5.Closing Stock &amp; W Capital'!$D$15))*$C$136*F$124</f>
        <v>  -   </v>
      </c>
      <c r="G136" s="88" t="str">
        <f>((F68*(1-'5.Closing Stock &amp; W Capital'!$D$15))+(E68*'5.Closing Stock &amp; W Capital'!$D$15))*$C$136*G$124</f>
        <v>  -   </v>
      </c>
      <c r="H136" s="88" t="str">
        <f>((G68*(1-'5.Closing Stock &amp; W Capital'!$D$15))+(F68*'5.Closing Stock &amp; W Capital'!$D$15))*$C$136*H$124</f>
        <v>  -   </v>
      </c>
      <c r="I136" s="88" t="str">
        <f>((H68*(1-'5.Closing Stock &amp; W Capital'!$D$15))+(G68*'5.Closing Stock &amp; W Capital'!$D$15))*$C$136*I$124</f>
        <v>  -   </v>
      </c>
      <c r="J136" s="88" t="str">
        <f>((I68*(1-'5.Closing Stock &amp; W Capital'!$D$15))+(H68*'5.Closing Stock &amp; W Capital'!$D$15))*$C$136*J$124</f>
        <v>  -   </v>
      </c>
      <c r="K136" s="93"/>
      <c r="U136" s="93"/>
      <c r="V136" s="93"/>
      <c r="W136" s="93"/>
    </row>
    <row r="137">
      <c r="A137" s="87" t="str">
        <f t="shared" si="55"/>
        <v>Jawar</v>
      </c>
      <c r="B137" s="87"/>
      <c r="C137" s="391">
        <v>30.0</v>
      </c>
      <c r="D137" s="88" t="str">
        <f>(C69*(1-'5.Closing Stock &amp; W Capital'!$D$15))*$C$137*D$124</f>
        <v>  -   </v>
      </c>
      <c r="E137" s="88" t="str">
        <f>((D69*(1-'5.Closing Stock &amp; W Capital'!$D$15))+(C69*'5.Closing Stock &amp; W Capital'!$D$15))*$C$137*E$124</f>
        <v>  -   </v>
      </c>
      <c r="F137" s="88" t="str">
        <f>((E69*(1-'5.Closing Stock &amp; W Capital'!$D$15))+(D69*'5.Closing Stock &amp; W Capital'!$D$15))*$C$137*F$124</f>
        <v>  -   </v>
      </c>
      <c r="G137" s="88" t="str">
        <f>((F69*(1-'5.Closing Stock &amp; W Capital'!$D$15))+(E69*'5.Closing Stock &amp; W Capital'!$D$15))*$C$137*G$124</f>
        <v>  -   </v>
      </c>
      <c r="H137" s="88" t="str">
        <f>((G69*(1-'5.Closing Stock &amp; W Capital'!$D$15))+(F69*'5.Closing Stock &amp; W Capital'!$D$15))*$C$137*H$124</f>
        <v>  -   </v>
      </c>
      <c r="I137" s="88" t="str">
        <f>((H69*(1-'5.Closing Stock &amp; W Capital'!$D$15))+(G69*'5.Closing Stock &amp; W Capital'!$D$15))*$C$137*I$124</f>
        <v>  -   </v>
      </c>
      <c r="J137" s="88" t="str">
        <f>((I69*(1-'5.Closing Stock &amp; W Capital'!$D$15))+(H69*'5.Closing Stock &amp; W Capital'!$D$15))*$C$137*J$124</f>
        <v>  -   </v>
      </c>
      <c r="K137" s="93"/>
      <c r="U137" s="93"/>
      <c r="V137" s="93"/>
      <c r="W137" s="93"/>
    </row>
    <row r="138">
      <c r="A138" s="90" t="str">
        <f t="shared" si="55"/>
        <v>Rabi Crop</v>
      </c>
      <c r="B138" s="87"/>
      <c r="C138" s="391"/>
      <c r="D138" s="88"/>
      <c r="E138" s="88"/>
      <c r="F138" s="88"/>
      <c r="G138" s="88"/>
      <c r="H138" s="88"/>
      <c r="I138" s="88"/>
      <c r="J138" s="88"/>
      <c r="K138" s="93"/>
      <c r="U138" s="93"/>
      <c r="V138" s="93"/>
      <c r="W138" s="93"/>
    </row>
    <row r="139">
      <c r="A139" s="87" t="str">
        <f t="shared" si="55"/>
        <v>Wheat</v>
      </c>
      <c r="B139" s="87"/>
      <c r="C139" s="391">
        <v>40.0</v>
      </c>
      <c r="D139" s="88" t="str">
        <f>(C71*(1-'5.Closing Stock &amp; W Capital'!$D$15))*$C$139*D$124</f>
        <v>  -   </v>
      </c>
      <c r="E139" s="88" t="str">
        <f>((D71*(1-'5.Closing Stock &amp; W Capital'!$D$15))+(C71*'5.Closing Stock &amp; W Capital'!$D$15))*$C$139*E$124</f>
        <v>  -   </v>
      </c>
      <c r="F139" s="88" t="str">
        <f>((E71*(1-'5.Closing Stock &amp; W Capital'!$D$15))+(D71*'5.Closing Stock &amp; W Capital'!$D$15))*$C$139*F$124</f>
        <v>  -   </v>
      </c>
      <c r="G139" s="88" t="str">
        <f>((F71*(1-'5.Closing Stock &amp; W Capital'!$D$15))+(E71*'5.Closing Stock &amp; W Capital'!$D$15))*$C$139*G$124</f>
        <v>  -   </v>
      </c>
      <c r="H139" s="88" t="str">
        <f>((G71*(1-'5.Closing Stock &amp; W Capital'!$D$15))+(F71*'5.Closing Stock &amp; W Capital'!$D$15))*$C$139*H$124</f>
        <v>  -   </v>
      </c>
      <c r="I139" s="88" t="str">
        <f>((H71*(1-'5.Closing Stock &amp; W Capital'!$D$15))+(G71*'5.Closing Stock &amp; W Capital'!$D$15))*$C$139*I$124</f>
        <v>  -   </v>
      </c>
      <c r="J139" s="88" t="str">
        <f>((I71*(1-'5.Closing Stock &amp; W Capital'!$D$15))+(H71*'5.Closing Stock &amp; W Capital'!$D$15))*$C$139*J$124</f>
        <v>  -   </v>
      </c>
      <c r="K139" s="93"/>
      <c r="U139" s="93"/>
      <c r="V139" s="93"/>
      <c r="W139" s="93"/>
    </row>
    <row r="140">
      <c r="A140" s="87" t="str">
        <f t="shared" si="55"/>
        <v>Bengal Gram/Channa</v>
      </c>
      <c r="B140" s="87"/>
      <c r="C140" s="391">
        <v>75.0</v>
      </c>
      <c r="D140" s="88" t="str">
        <f>(C72*(1-'5.Closing Stock &amp; W Capital'!$D$15))*$C$140*D$124</f>
        <v>  -   </v>
      </c>
      <c r="E140" s="88" t="str">
        <f>((D72*(1-'5.Closing Stock &amp; W Capital'!$D$15))+(C72*'5.Closing Stock &amp; W Capital'!$D$15))*$C$140*E$124</f>
        <v>  -   </v>
      </c>
      <c r="F140" s="88" t="str">
        <f>((E72*(1-'5.Closing Stock &amp; W Capital'!$D$15))+(D72*'5.Closing Stock &amp; W Capital'!$D$15))*$C$140*F$124</f>
        <v>  -   </v>
      </c>
      <c r="G140" s="88" t="str">
        <f>((F72*(1-'5.Closing Stock &amp; W Capital'!$D$15))+(E72*'5.Closing Stock &amp; W Capital'!$D$15))*$C$140*G$124</f>
        <v>  -   </v>
      </c>
      <c r="H140" s="88" t="str">
        <f>((G72*(1-'5.Closing Stock &amp; W Capital'!$D$15))+(F72*'5.Closing Stock &amp; W Capital'!$D$15))*$C$140*H$124</f>
        <v>  -   </v>
      </c>
      <c r="I140" s="88" t="str">
        <f>((H72*(1-'5.Closing Stock &amp; W Capital'!$D$15))+(G72*'5.Closing Stock &amp; W Capital'!$D$15))*$C$140*I$124</f>
        <v>  -   </v>
      </c>
      <c r="J140" s="88" t="str">
        <f>((I72*(1-'5.Closing Stock &amp; W Capital'!$D$15))+(H72*'5.Closing Stock &amp; W Capital'!$D$15))*$C$140*J$124</f>
        <v>  -   </v>
      </c>
      <c r="K140" s="93"/>
      <c r="U140" s="93"/>
      <c r="V140" s="93"/>
      <c r="W140" s="93"/>
    </row>
    <row r="141">
      <c r="A141" s="87" t="str">
        <f t="shared" si="55"/>
        <v>Jawar</v>
      </c>
      <c r="B141" s="87"/>
      <c r="C141" s="391">
        <v>27.0</v>
      </c>
      <c r="D141" s="88" t="str">
        <f>(C73*(1-'5.Closing Stock &amp; W Capital'!$D$15))*$C$141*D$124</f>
        <v>  -   </v>
      </c>
      <c r="E141" s="88" t="str">
        <f>((D73*(1-'5.Closing Stock &amp; W Capital'!$D$15))+(C73*'5.Closing Stock &amp; W Capital'!$D$15))*$C$141*E$124</f>
        <v>  -   </v>
      </c>
      <c r="F141" s="88" t="str">
        <f>((E73*(1-'5.Closing Stock &amp; W Capital'!$D$15))+(D73*'5.Closing Stock &amp; W Capital'!$D$15))*$C$141*F$124</f>
        <v>  -   </v>
      </c>
      <c r="G141" s="88" t="str">
        <f>((F73*(1-'5.Closing Stock &amp; W Capital'!$D$15))+(E73*'5.Closing Stock &amp; W Capital'!$D$15))*$C$141*G$124</f>
        <v>  -   </v>
      </c>
      <c r="H141" s="88" t="str">
        <f>((G73*(1-'5.Closing Stock &amp; W Capital'!$D$15))+(F73*'5.Closing Stock &amp; W Capital'!$D$15))*$C$141*H$124</f>
        <v>  -   </v>
      </c>
      <c r="I141" s="88" t="str">
        <f>((H73*(1-'5.Closing Stock &amp; W Capital'!$D$15))+(G73*'5.Closing Stock &amp; W Capital'!$D$15))*$C$141*I$124</f>
        <v>  -   </v>
      </c>
      <c r="J141" s="88" t="str">
        <f>((I73*(1-'5.Closing Stock &amp; W Capital'!$D$15))+(H73*'5.Closing Stock &amp; W Capital'!$D$15))*$C$141*J$124</f>
        <v>  -   </v>
      </c>
      <c r="K141" s="93"/>
      <c r="U141" s="93"/>
      <c r="V141" s="93"/>
      <c r="W141" s="93"/>
    </row>
    <row r="142">
      <c r="A142" s="87" t="str">
        <f t="shared" si="55"/>
        <v>Maize</v>
      </c>
      <c r="B142" s="87"/>
      <c r="C142" s="391">
        <v>27.0</v>
      </c>
      <c r="D142" s="88" t="str">
        <f>(C74*(1-'5.Closing Stock &amp; W Capital'!$D$15))*$C$142*D$124</f>
        <v>  -   </v>
      </c>
      <c r="E142" s="88" t="str">
        <f>((D74*(1-'5.Closing Stock &amp; W Capital'!$D$15))+(C74*'5.Closing Stock &amp; W Capital'!$D$15))*$C$142*E$124</f>
        <v>  -   </v>
      </c>
      <c r="F142" s="88" t="str">
        <f>((E74*(1-'5.Closing Stock &amp; W Capital'!$D$15))+(D74*'5.Closing Stock &amp; W Capital'!$D$15))*$C$142*F$124</f>
        <v>  -   </v>
      </c>
      <c r="G142" s="88" t="str">
        <f>((F74*(1-'5.Closing Stock &amp; W Capital'!$D$15))+(E74*'5.Closing Stock &amp; W Capital'!$D$15))*$C$142*G$124</f>
        <v>  -   </v>
      </c>
      <c r="H142" s="88" t="str">
        <f>((G74*(1-'5.Closing Stock &amp; W Capital'!$D$15))+(F74*'5.Closing Stock &amp; W Capital'!$D$15))*$C$142*H$124</f>
        <v>  -   </v>
      </c>
      <c r="I142" s="88" t="str">
        <f>((H74*(1-'5.Closing Stock &amp; W Capital'!$D$15))+(G74*'5.Closing Stock &amp; W Capital'!$D$15))*$C$142*I$124</f>
        <v>  -   </v>
      </c>
      <c r="J142" s="88" t="str">
        <f>((I74*(1-'5.Closing Stock &amp; W Capital'!$D$15))+(H74*'5.Closing Stock &amp; W Capital'!$D$15))*$C$142*J$124</f>
        <v>  -   </v>
      </c>
      <c r="K142" s="93"/>
      <c r="U142" s="93"/>
      <c r="V142" s="93"/>
      <c r="W142" s="93"/>
    </row>
    <row r="143">
      <c r="A143" s="87" t="str">
        <f t="shared" si="55"/>
        <v>Safflower</v>
      </c>
      <c r="B143" s="87"/>
      <c r="C143" s="391"/>
      <c r="D143" s="88" t="str">
        <f>(C75*(1-'5.Closing Stock &amp; W Capital'!$D$15))*$C$143*D$124</f>
        <v>  -   </v>
      </c>
      <c r="E143" s="88" t="str">
        <f>((D75*(1-'5.Closing Stock &amp; W Capital'!$D$15))+(C75*'5.Closing Stock &amp; W Capital'!$D$15))*$C$143*E$124</f>
        <v>  -   </v>
      </c>
      <c r="F143" s="88" t="str">
        <f>((E75*(1-'5.Closing Stock &amp; W Capital'!$D$15))+(D75*'5.Closing Stock &amp; W Capital'!$D$15))*$C$143*F$124</f>
        <v>  -   </v>
      </c>
      <c r="G143" s="88" t="str">
        <f>((F75*(1-'5.Closing Stock &amp; W Capital'!$D$15))+(E75*'5.Closing Stock &amp; W Capital'!$D$15))*$C$143*G$124</f>
        <v>  -   </v>
      </c>
      <c r="H143" s="88" t="str">
        <f>((G75*(1-'5.Closing Stock &amp; W Capital'!$D$15))+(F75*'5.Closing Stock &amp; W Capital'!$D$15))*$C$143*H$124</f>
        <v>  -   </v>
      </c>
      <c r="I143" s="88" t="str">
        <f>((H75*(1-'5.Closing Stock &amp; W Capital'!$D$15))+(G75*'5.Closing Stock &amp; W Capital'!$D$15))*$C$143*I$124</f>
        <v>  -   </v>
      </c>
      <c r="J143" s="88" t="str">
        <f>((I75*(1-'5.Closing Stock &amp; W Capital'!$D$15))+(H75*'5.Closing Stock &amp; W Capital'!$D$15))*$C$143*J$124</f>
        <v>  -   </v>
      </c>
      <c r="K143" s="93"/>
      <c r="U143" s="93"/>
      <c r="V143" s="93"/>
      <c r="W143" s="93"/>
    </row>
    <row r="144">
      <c r="A144" s="87" t="str">
        <f t="shared" si="55"/>
        <v/>
      </c>
      <c r="B144" s="87"/>
      <c r="C144" s="391"/>
      <c r="D144" s="88" t="str">
        <f>(C76*(1-'5.Closing Stock &amp; W Capital'!$D$15))*$C$144*D$124</f>
        <v>  -   </v>
      </c>
      <c r="E144" s="88" t="str">
        <f>((D76*(1-'5.Closing Stock &amp; W Capital'!$D$15))+(C76*'5.Closing Stock &amp; W Capital'!$D$15))*$C$144*E$124</f>
        <v>  -   </v>
      </c>
      <c r="F144" s="88" t="str">
        <f>((E76*(1-'5.Closing Stock &amp; W Capital'!$D$15))+(D76*'5.Closing Stock &amp; W Capital'!$D$15))*$C$144*F$124</f>
        <v>  -   </v>
      </c>
      <c r="G144" s="88" t="str">
        <f>((F76*(1-'5.Closing Stock &amp; W Capital'!$D$15))+(E76*'5.Closing Stock &amp; W Capital'!$D$15))*$C$144*G$124</f>
        <v>  -   </v>
      </c>
      <c r="H144" s="88" t="str">
        <f>((G76*(1-'5.Closing Stock &amp; W Capital'!$D$15))+(F76*'5.Closing Stock &amp; W Capital'!$D$15))*$C$144*H$124</f>
        <v>  -   </v>
      </c>
      <c r="I144" s="88" t="str">
        <f>((H76*(1-'5.Closing Stock &amp; W Capital'!$D$15))+(G76*'5.Closing Stock &amp; W Capital'!$D$15))*$C$144*I$124</f>
        <v>  -   </v>
      </c>
      <c r="J144" s="88" t="str">
        <f>((I76*(1-'5.Closing Stock &amp; W Capital'!$D$15))+(H76*'5.Closing Stock &amp; W Capital'!$D$15))*$C$144*J$124</f>
        <v>  -   </v>
      </c>
      <c r="K144" s="93"/>
      <c r="U144" s="93"/>
      <c r="V144" s="93"/>
      <c r="W144" s="93"/>
    </row>
    <row r="145">
      <c r="A145" s="87" t="str">
        <f t="shared" si="55"/>
        <v/>
      </c>
      <c r="B145" s="87"/>
      <c r="C145" s="391"/>
      <c r="D145" s="88" t="str">
        <f>(C77*(1-'5.Closing Stock &amp; W Capital'!$D$15))*$C$145*D$124</f>
        <v>  -   </v>
      </c>
      <c r="E145" s="88" t="str">
        <f>((D77*(1-'5.Closing Stock &amp; W Capital'!$D$15))+(C77*'5.Closing Stock &amp; W Capital'!$D$15))*$C$145*E$124</f>
        <v>  -   </v>
      </c>
      <c r="F145" s="88" t="str">
        <f>((E77*(1-'5.Closing Stock &amp; W Capital'!$D$15))+(D77*'5.Closing Stock &amp; W Capital'!$D$15))*$C$145*F$124</f>
        <v>  -   </v>
      </c>
      <c r="G145" s="88" t="str">
        <f>((F77*(1-'5.Closing Stock &amp; W Capital'!$D$15))+(E77*'5.Closing Stock &amp; W Capital'!$D$15))*$C$145*G$124</f>
        <v>  -   </v>
      </c>
      <c r="H145" s="88" t="str">
        <f>((G77*(1-'5.Closing Stock &amp; W Capital'!$D$15))+(F77*'5.Closing Stock &amp; W Capital'!$D$15))*$C$145*H$124</f>
        <v>  -   </v>
      </c>
      <c r="I145" s="88" t="str">
        <f>((H77*(1-'5.Closing Stock &amp; W Capital'!$D$15))+(G77*'5.Closing Stock &amp; W Capital'!$D$15))*$C$145*I$124</f>
        <v>  -   </v>
      </c>
      <c r="J145" s="88" t="str">
        <f>((I77*(1-'5.Closing Stock &amp; W Capital'!$D$15))+(H77*'5.Closing Stock &amp; W Capital'!$D$15))*$C$145*J$124</f>
        <v>  -   </v>
      </c>
      <c r="K145" s="93"/>
      <c r="U145" s="93"/>
      <c r="V145" s="93"/>
      <c r="W145" s="93"/>
    </row>
    <row r="146">
      <c r="A146" s="87" t="str">
        <f t="shared" si="55"/>
        <v/>
      </c>
      <c r="B146" s="87"/>
      <c r="C146" s="391"/>
      <c r="D146" s="88" t="str">
        <f>(C78*(1-'5.Closing Stock &amp; W Capital'!$D$15))*$C$146*D$124</f>
        <v>  -   </v>
      </c>
      <c r="E146" s="88" t="str">
        <f>((D78*(1-'5.Closing Stock &amp; W Capital'!$D$15))+(C78*'5.Closing Stock &amp; W Capital'!$D$15))*$C$146*E$124</f>
        <v>  -   </v>
      </c>
      <c r="F146" s="88" t="str">
        <f>((E78*(1-'5.Closing Stock &amp; W Capital'!$D$15))+(D78*'5.Closing Stock &amp; W Capital'!$D$15))*$C$146*F$124</f>
        <v>  -   </v>
      </c>
      <c r="G146" s="88" t="str">
        <f>((F78*(1-'5.Closing Stock &amp; W Capital'!$D$15))+(E78*'5.Closing Stock &amp; W Capital'!$D$15))*$C$146*G$124</f>
        <v>  -   </v>
      </c>
      <c r="H146" s="88" t="str">
        <f>((G78*(1-'5.Closing Stock &amp; W Capital'!$D$15))+(F78*'5.Closing Stock &amp; W Capital'!$D$15))*$C$146*H$124</f>
        <v>  -   </v>
      </c>
      <c r="I146" s="88" t="str">
        <f>((H78*(1-'5.Closing Stock &amp; W Capital'!$D$15))+(G78*'5.Closing Stock &amp; W Capital'!$D$15))*$C$146*I$124</f>
        <v>  -   </v>
      </c>
      <c r="J146" s="88" t="str">
        <f>((I78*(1-'5.Closing Stock &amp; W Capital'!$D$15))+(H78*'5.Closing Stock &amp; W Capital'!$D$15))*$C$146*J$124</f>
        <v>  -   </v>
      </c>
      <c r="K146" s="93"/>
      <c r="U146" s="93"/>
      <c r="V146" s="93"/>
      <c r="W146" s="93"/>
    </row>
    <row r="147">
      <c r="A147" s="90" t="str">
        <f t="shared" si="55"/>
        <v>Summer</v>
      </c>
      <c r="B147" s="87"/>
      <c r="C147" s="391"/>
      <c r="D147" s="88"/>
      <c r="E147" s="88"/>
      <c r="F147" s="88"/>
      <c r="G147" s="88"/>
      <c r="H147" s="88"/>
      <c r="I147" s="88"/>
      <c r="J147" s="88"/>
      <c r="K147" s="93"/>
      <c r="U147" s="93"/>
      <c r="V147" s="93"/>
      <c r="W147" s="93"/>
    </row>
    <row r="148">
      <c r="A148" s="87" t="str">
        <f t="shared" si="55"/>
        <v>Groundnut</v>
      </c>
      <c r="B148" s="87"/>
      <c r="C148" s="391"/>
      <c r="D148" s="88" t="str">
        <f>(C80*(1-'5.Closing Stock &amp; W Capital'!$D$15))*$C$148*D$124</f>
        <v>  -   </v>
      </c>
      <c r="E148" s="88" t="str">
        <f>((D80*(1-'5.Closing Stock &amp; W Capital'!$D$15))+(C80*'5.Closing Stock &amp; W Capital'!$D$15))*$C$148*E$124</f>
        <v>  -   </v>
      </c>
      <c r="F148" s="88" t="str">
        <f>((E80*(1-'5.Closing Stock &amp; W Capital'!$D$15))+(D80*'5.Closing Stock &amp; W Capital'!$D$15))*$C$148*F$124</f>
        <v>  -   </v>
      </c>
      <c r="G148" s="88" t="str">
        <f>((F80*(1-'5.Closing Stock &amp; W Capital'!$D$15))+(E80*'5.Closing Stock &amp; W Capital'!$D$15))*$C$148*G$124</f>
        <v>  -   </v>
      </c>
      <c r="H148" s="88" t="str">
        <f>((G80*(1-'5.Closing Stock &amp; W Capital'!$D$15))+(F80*'5.Closing Stock &amp; W Capital'!$D$15))*$C$148*H$124</f>
        <v>  -   </v>
      </c>
      <c r="I148" s="88" t="str">
        <f>((H80*(1-'5.Closing Stock &amp; W Capital'!$D$15))+(G80*'5.Closing Stock &amp; W Capital'!$D$15))*$C$148*I$124</f>
        <v>  -   </v>
      </c>
      <c r="J148" s="88" t="str">
        <f>((I80*(1-'5.Closing Stock &amp; W Capital'!$D$15))+(H80*'5.Closing Stock &amp; W Capital'!$D$15))*$C$148*J$124</f>
        <v>  -   </v>
      </c>
      <c r="K148" s="93"/>
      <c r="U148" s="93"/>
      <c r="V148" s="93"/>
      <c r="W148" s="93"/>
    </row>
    <row r="149">
      <c r="A149" s="87" t="str">
        <f t="shared" si="55"/>
        <v/>
      </c>
      <c r="B149" s="87"/>
      <c r="C149" s="391"/>
      <c r="D149" s="88" t="str">
        <f>(C81*(1-'5.Closing Stock &amp; W Capital'!$D$15))*$C$149*D$124</f>
        <v>  -   </v>
      </c>
      <c r="E149" s="88" t="str">
        <f>((D81*(1-'5.Closing Stock &amp; W Capital'!$D$15))+(C81*'5.Closing Stock &amp; W Capital'!$D$15))*$C$149*E$124</f>
        <v>  -   </v>
      </c>
      <c r="F149" s="88" t="str">
        <f>((E81*(1-'5.Closing Stock &amp; W Capital'!$D$15))+(D81*'5.Closing Stock &amp; W Capital'!$D$15))*$C$149*F$124</f>
        <v>  -   </v>
      </c>
      <c r="G149" s="88" t="str">
        <f>((F81*(1-'5.Closing Stock &amp; W Capital'!$D$15))+(E81*'5.Closing Stock &amp; W Capital'!$D$15))*$C$149*G$124</f>
        <v>  -   </v>
      </c>
      <c r="H149" s="88" t="str">
        <f>((G81*(1-'5.Closing Stock &amp; W Capital'!$D$15))+(F81*'5.Closing Stock &amp; W Capital'!$D$15))*$C$149*H$124</f>
        <v>  -   </v>
      </c>
      <c r="I149" s="88" t="str">
        <f>((H81*(1-'5.Closing Stock &amp; W Capital'!$D$15))+(G81*'5.Closing Stock &amp; W Capital'!$D$15))*$C$149*I$124</f>
        <v>  -   </v>
      </c>
      <c r="J149" s="88" t="str">
        <f>((I81*(1-'5.Closing Stock &amp; W Capital'!$D$15))+(H81*'5.Closing Stock &amp; W Capital'!$D$15))*$C$149*J$124</f>
        <v>  -   </v>
      </c>
      <c r="K149" s="93"/>
      <c r="U149" s="93"/>
      <c r="V149" s="93"/>
      <c r="W149" s="93"/>
    </row>
    <row r="150">
      <c r="A150" s="87" t="str">
        <f t="shared" si="55"/>
        <v/>
      </c>
      <c r="B150" s="87"/>
      <c r="C150" s="391"/>
      <c r="D150" s="88" t="str">
        <f>(C82*(1-'5.Closing Stock &amp; W Capital'!$D$15))*$C$150*D$124</f>
        <v>  -   </v>
      </c>
      <c r="E150" s="88" t="str">
        <f>((D82*(1-'5.Closing Stock &amp; W Capital'!$D$15))+(C82*'5.Closing Stock &amp; W Capital'!$D$15))*$C$150*E$124</f>
        <v>  -   </v>
      </c>
      <c r="F150" s="88" t="str">
        <f>((E82*(1-'5.Closing Stock &amp; W Capital'!$D$15))+(D82*'5.Closing Stock &amp; W Capital'!$D$15))*$C$150*F$124</f>
        <v>  -   </v>
      </c>
      <c r="G150" s="88" t="str">
        <f>((F82*(1-'5.Closing Stock &amp; W Capital'!$D$15))+(E82*'5.Closing Stock &amp; W Capital'!$D$15))*$C$150*G$124</f>
        <v>  -   </v>
      </c>
      <c r="H150" s="88" t="str">
        <f>((G82*(1-'5.Closing Stock &amp; W Capital'!$D$15))+(F82*'5.Closing Stock &amp; W Capital'!$D$15))*$C$150*H$124</f>
        <v>  -   </v>
      </c>
      <c r="I150" s="88" t="str">
        <f>((H82*(1-'5.Closing Stock &amp; W Capital'!$D$15))+(G82*'5.Closing Stock &amp; W Capital'!$D$15))*$C$150*I$124</f>
        <v>  -   </v>
      </c>
      <c r="J150" s="88" t="str">
        <f>((I82*(1-'5.Closing Stock &amp; W Capital'!$D$15))+(H82*'5.Closing Stock &amp; W Capital'!$D$15))*$C$150*J$124</f>
        <v>  -   </v>
      </c>
      <c r="K150" s="93"/>
      <c r="U150" s="93"/>
      <c r="V150" s="93"/>
      <c r="W150" s="93"/>
    </row>
    <row r="151">
      <c r="A151" s="87" t="str">
        <f t="shared" si="55"/>
        <v/>
      </c>
      <c r="B151" s="87"/>
      <c r="C151" s="391"/>
      <c r="D151" s="88" t="str">
        <f>(C83*(1-'5.Closing Stock &amp; W Capital'!$D$15))*$C$151*D$124</f>
        <v>  -   </v>
      </c>
      <c r="E151" s="88" t="str">
        <f>((D83*(1-'5.Closing Stock &amp; W Capital'!$D$15))+(C83*'5.Closing Stock &amp; W Capital'!$D$15))*$C$151*E$124</f>
        <v>  -   </v>
      </c>
      <c r="F151" s="88" t="str">
        <f>((E83*(1-'5.Closing Stock &amp; W Capital'!$D$15))+(D83*'5.Closing Stock &amp; W Capital'!$D$15))*$C$151*F$124</f>
        <v>  -   </v>
      </c>
      <c r="G151" s="88" t="str">
        <f>((F83*(1-'5.Closing Stock &amp; W Capital'!$D$15))+(E83*'5.Closing Stock &amp; W Capital'!$D$15))*$C$151*G$124</f>
        <v>  -   </v>
      </c>
      <c r="H151" s="88" t="str">
        <f>((G83*(1-'5.Closing Stock &amp; W Capital'!$D$15))+(F83*'5.Closing Stock &amp; W Capital'!$D$15))*$C$151*H$124</f>
        <v>  -   </v>
      </c>
      <c r="I151" s="88" t="str">
        <f>((H83*(1-'5.Closing Stock &amp; W Capital'!$D$15))+(G83*'5.Closing Stock &amp; W Capital'!$D$15))*$C$151*I$124</f>
        <v>  -   </v>
      </c>
      <c r="J151" s="88" t="str">
        <f>((I83*(1-'5.Closing Stock &amp; W Capital'!$D$15))+(H83*'5.Closing Stock &amp; W Capital'!$D$15))*$C$151*J$124</f>
        <v>  -   </v>
      </c>
      <c r="K151" s="93"/>
      <c r="U151" s="93"/>
      <c r="V151" s="93"/>
      <c r="W151" s="93"/>
    </row>
    <row r="152">
      <c r="A152" s="87" t="str">
        <f t="shared" si="55"/>
        <v/>
      </c>
      <c r="B152" s="87"/>
      <c r="C152" s="391"/>
      <c r="D152" s="88" t="str">
        <f>(C84*(1-'5.Closing Stock &amp; W Capital'!$D$15))*$C$152*D$124</f>
        <v>  -   </v>
      </c>
      <c r="E152" s="88" t="str">
        <f>((D84*(1-'5.Closing Stock &amp; W Capital'!$D$15))+(C84*'5.Closing Stock &amp; W Capital'!$D$15))*$C$152*E$124</f>
        <v>  -   </v>
      </c>
      <c r="F152" s="88" t="str">
        <f>((E84*(1-'5.Closing Stock &amp; W Capital'!$D$15))+(D84*'5.Closing Stock &amp; W Capital'!$D$15))*$C$152*F$124</f>
        <v>  -   </v>
      </c>
      <c r="G152" s="88" t="str">
        <f>((F84*(1-'5.Closing Stock &amp; W Capital'!$D$15))+(E84*'5.Closing Stock &amp; W Capital'!$D$15))*$C$152*G$124</f>
        <v>  -   </v>
      </c>
      <c r="H152" s="88" t="str">
        <f>((G84*(1-'5.Closing Stock &amp; W Capital'!$D$15))+(F84*'5.Closing Stock &amp; W Capital'!$D$15))*$C$152*H$124</f>
        <v>  -   </v>
      </c>
      <c r="I152" s="88" t="str">
        <f>((H84*(1-'5.Closing Stock &amp; W Capital'!$D$15))+(G84*'5.Closing Stock &amp; W Capital'!$D$15))*$C$152*I$124</f>
        <v>  -   </v>
      </c>
      <c r="J152" s="88" t="str">
        <f>((I84*(1-'5.Closing Stock &amp; W Capital'!$D$15))+(H84*'5.Closing Stock &amp; W Capital'!$D$15))*$C$152*J$124</f>
        <v>  -   </v>
      </c>
      <c r="K152" s="93"/>
      <c r="U152" s="93"/>
      <c r="V152" s="93"/>
      <c r="W152" s="93"/>
    </row>
    <row r="153">
      <c r="A153" s="87" t="str">
        <f t="shared" si="55"/>
        <v>Fruit  &amp; Vegetables Crop Production Details</v>
      </c>
      <c r="B153" s="87"/>
      <c r="C153" s="391"/>
      <c r="D153" s="88"/>
      <c r="E153" s="88"/>
      <c r="F153" s="88"/>
      <c r="G153" s="88"/>
      <c r="H153" s="88"/>
      <c r="I153" s="88"/>
      <c r="J153" s="88"/>
      <c r="K153" s="93"/>
      <c r="U153" s="93"/>
      <c r="V153" s="93"/>
      <c r="W153" s="93"/>
    </row>
    <row r="154">
      <c r="A154" s="87" t="str">
        <f t="shared" si="55"/>
        <v>Onion</v>
      </c>
      <c r="B154" s="87"/>
      <c r="C154" s="391"/>
      <c r="D154" s="88" t="str">
        <f>(C86*(1-'5.Closing Stock &amp; W Capital'!$D$15))*$C154*D$124</f>
        <v>  -   </v>
      </c>
      <c r="E154" s="88" t="str">
        <f>((D86*(1-'5.Closing Stock &amp; W Capital'!$D$15))+(C86*'5.Closing Stock &amp; W Capital'!$D$15))*$C154*E$124</f>
        <v>  -   </v>
      </c>
      <c r="F154" s="88" t="str">
        <f>((E86*(1-'5.Closing Stock &amp; W Capital'!$D$15))+(D86*'5.Closing Stock &amp; W Capital'!$D$15))*$C$152*F$124</f>
        <v>  -   </v>
      </c>
      <c r="G154" s="88" t="str">
        <f>((F86*(1-'5.Closing Stock &amp; W Capital'!$D$15))+(E86*'5.Closing Stock &amp; W Capital'!$D$15))*$C$152*G$124</f>
        <v>  -   </v>
      </c>
      <c r="H154" s="88" t="str">
        <f>((G86*(1-'5.Closing Stock &amp; W Capital'!$D$15))+(F86*'5.Closing Stock &amp; W Capital'!$D$15))*$C$152*H$124</f>
        <v>  -   </v>
      </c>
      <c r="I154" s="88" t="str">
        <f>((H86*(1-'5.Closing Stock &amp; W Capital'!$D$15))+(G86*'5.Closing Stock &amp; W Capital'!$D$15))*$C$152*I$124</f>
        <v>  -   </v>
      </c>
      <c r="J154" s="88" t="str">
        <f>((I86*(1-'5.Closing Stock &amp; W Capital'!$D$15))+(H86*'5.Closing Stock &amp; W Capital'!$D$15))*$C$152*J$124</f>
        <v>  -   </v>
      </c>
      <c r="K154" s="93"/>
      <c r="U154" s="93"/>
      <c r="V154" s="93"/>
      <c r="W154" s="93"/>
    </row>
    <row r="155">
      <c r="A155" s="87" t="str">
        <f t="shared" si="55"/>
        <v>Tomato</v>
      </c>
      <c r="B155" s="87"/>
      <c r="C155" s="391"/>
      <c r="D155" s="88" t="str">
        <f>(C87*(1-'5.Closing Stock &amp; W Capital'!$D$15))*$C155*D$124</f>
        <v>  -   </v>
      </c>
      <c r="E155" s="88" t="str">
        <f>((D87*(1-'5.Closing Stock &amp; W Capital'!$D$15))+(C87*'5.Closing Stock &amp; W Capital'!$D$15))*$C155*E$124</f>
        <v>  -   </v>
      </c>
      <c r="F155" s="88" t="str">
        <f>((E87*(1-'5.Closing Stock &amp; W Capital'!$D$15))+(D87*'5.Closing Stock &amp; W Capital'!$D$15))*$C$152*F$124</f>
        <v>  -   </v>
      </c>
      <c r="G155" s="88" t="str">
        <f>((F87*(1-'5.Closing Stock &amp; W Capital'!$D$15))+(E87*'5.Closing Stock &amp; W Capital'!$D$15))*$C$152*G$124</f>
        <v>  -   </v>
      </c>
      <c r="H155" s="88" t="str">
        <f>((G87*(1-'5.Closing Stock &amp; W Capital'!$D$15))+(F87*'5.Closing Stock &amp; W Capital'!$D$15))*$C$152*H$124</f>
        <v>  -   </v>
      </c>
      <c r="I155" s="88" t="str">
        <f>((H87*(1-'5.Closing Stock &amp; W Capital'!$D$15))+(G87*'5.Closing Stock &amp; W Capital'!$D$15))*$C$152*I$124</f>
        <v>  -   </v>
      </c>
      <c r="J155" s="88" t="str">
        <f>((I87*(1-'5.Closing Stock &amp; W Capital'!$D$15))+(H87*'5.Closing Stock &amp; W Capital'!$D$15))*$C$152*J$124</f>
        <v>  -   </v>
      </c>
      <c r="K155" s="93"/>
      <c r="U155" s="93"/>
      <c r="V155" s="93"/>
      <c r="W155" s="93"/>
    </row>
    <row r="156">
      <c r="A156" s="87" t="str">
        <f t="shared" si="55"/>
        <v>Okra</v>
      </c>
      <c r="B156" s="87"/>
      <c r="C156" s="391"/>
      <c r="D156" s="88" t="str">
        <f>(C88*(1-'5.Closing Stock &amp; W Capital'!$D$15))*$C156*D$124</f>
        <v>  -   </v>
      </c>
      <c r="E156" s="88" t="str">
        <f>((D88*(1-'5.Closing Stock &amp; W Capital'!$D$15))+(C88*'5.Closing Stock &amp; W Capital'!$D$15))*$C156*E$124</f>
        <v>  -   </v>
      </c>
      <c r="F156" s="88" t="str">
        <f>((E88*(1-'5.Closing Stock &amp; W Capital'!$D$15))+(D88*'5.Closing Stock &amp; W Capital'!$D$15))*$C$152*F$124</f>
        <v>  -   </v>
      </c>
      <c r="G156" s="88" t="str">
        <f>((F88*(1-'5.Closing Stock &amp; W Capital'!$D$15))+(E88*'5.Closing Stock &amp; W Capital'!$D$15))*$C$152*G$124</f>
        <v>  -   </v>
      </c>
      <c r="H156" s="88" t="str">
        <f>((G88*(1-'5.Closing Stock &amp; W Capital'!$D$15))+(F88*'5.Closing Stock &amp; W Capital'!$D$15))*$C$152*H$124</f>
        <v>  -   </v>
      </c>
      <c r="I156" s="88" t="str">
        <f>((H88*(1-'5.Closing Stock &amp; W Capital'!$D$15))+(G88*'5.Closing Stock &amp; W Capital'!$D$15))*$C$152*I$124</f>
        <v>  -   </v>
      </c>
      <c r="J156" s="88" t="str">
        <f>((I88*(1-'5.Closing Stock &amp; W Capital'!$D$15))+(H88*'5.Closing Stock &amp; W Capital'!$D$15))*$C$152*J$124</f>
        <v>  -   </v>
      </c>
      <c r="K156" s="93"/>
      <c r="U156" s="93"/>
      <c r="V156" s="93"/>
      <c r="W156" s="93"/>
    </row>
    <row r="157">
      <c r="A157" s="87" t="str">
        <f t="shared" si="55"/>
        <v>Chilli</v>
      </c>
      <c r="B157" s="87"/>
      <c r="C157" s="391"/>
      <c r="D157" s="88" t="str">
        <f>(C89*(1-'5.Closing Stock &amp; W Capital'!$D$15))*$C157*D$124</f>
        <v>  -   </v>
      </c>
      <c r="E157" s="88" t="str">
        <f>((D89*(1-'5.Closing Stock &amp; W Capital'!$D$15))+(C89*'5.Closing Stock &amp; W Capital'!$D$15))*$C157*E$124</f>
        <v>  -   </v>
      </c>
      <c r="F157" s="88" t="str">
        <f>((E89*(1-'5.Closing Stock &amp; W Capital'!$D$15))+(D89*'5.Closing Stock &amp; W Capital'!$D$15))*$C$152*F$124</f>
        <v>  -   </v>
      </c>
      <c r="G157" s="88" t="str">
        <f>((F89*(1-'5.Closing Stock &amp; W Capital'!$D$15))+(E89*'5.Closing Stock &amp; W Capital'!$D$15))*$C$152*G$124</f>
        <v>  -   </v>
      </c>
      <c r="H157" s="88" t="str">
        <f>((G89*(1-'5.Closing Stock &amp; W Capital'!$D$15))+(F89*'5.Closing Stock &amp; W Capital'!$D$15))*$C$152*H$124</f>
        <v>  -   </v>
      </c>
      <c r="I157" s="88" t="str">
        <f>((H89*(1-'5.Closing Stock &amp; W Capital'!$D$15))+(G89*'5.Closing Stock &amp; W Capital'!$D$15))*$C$152*I$124</f>
        <v>  -   </v>
      </c>
      <c r="J157" s="88" t="str">
        <f>((I89*(1-'5.Closing Stock &amp; W Capital'!$D$15))+(H89*'5.Closing Stock &amp; W Capital'!$D$15))*$C$152*J$124</f>
        <v>  -   </v>
      </c>
      <c r="K157" s="93"/>
      <c r="U157" s="93"/>
      <c r="V157" s="93"/>
      <c r="W157" s="93"/>
    </row>
    <row r="158">
      <c r="A158" s="87" t="str">
        <f t="shared" si="55"/>
        <v>Potato</v>
      </c>
      <c r="B158" s="87"/>
      <c r="C158" s="391"/>
      <c r="D158" s="88" t="str">
        <f>(C90*(1-'5.Closing Stock &amp; W Capital'!$D$15))*$C158*D$124</f>
        <v>  -   </v>
      </c>
      <c r="E158" s="88" t="str">
        <f>((D90*(1-'5.Closing Stock &amp; W Capital'!$D$15))+(C90*'5.Closing Stock &amp; W Capital'!$D$15))*$C158*E$124</f>
        <v>  -   </v>
      </c>
      <c r="F158" s="88" t="str">
        <f>((E90*(1-'5.Closing Stock &amp; W Capital'!$D$15))+(D90*'5.Closing Stock &amp; W Capital'!$D$15))*$C$152*F$124</f>
        <v>  -   </v>
      </c>
      <c r="G158" s="88" t="str">
        <f>((F90*(1-'5.Closing Stock &amp; W Capital'!$D$15))+(E90*'5.Closing Stock &amp; W Capital'!$D$15))*$C$152*G$124</f>
        <v>  -   </v>
      </c>
      <c r="H158" s="88" t="str">
        <f>((G90*(1-'5.Closing Stock &amp; W Capital'!$D$15))+(F90*'5.Closing Stock &amp; W Capital'!$D$15))*$C$152*H$124</f>
        <v>  -   </v>
      </c>
      <c r="I158" s="88" t="str">
        <f>((H90*(1-'5.Closing Stock &amp; W Capital'!$D$15))+(G90*'5.Closing Stock &amp; W Capital'!$D$15))*$C$152*I$124</f>
        <v>  -   </v>
      </c>
      <c r="J158" s="88" t="str">
        <f>((I90*(1-'5.Closing Stock &amp; W Capital'!$D$15))+(H90*'5.Closing Stock &amp; W Capital'!$D$15))*$C$152*J$124</f>
        <v>  -   </v>
      </c>
      <c r="K158" s="93"/>
      <c r="U158" s="93"/>
      <c r="V158" s="93"/>
      <c r="W158" s="93"/>
    </row>
    <row r="159">
      <c r="A159" s="87" t="str">
        <f t="shared" si="55"/>
        <v/>
      </c>
      <c r="B159" s="87"/>
      <c r="C159" s="391"/>
      <c r="D159" s="88" t="str">
        <f>(C91*(1-'5.Closing Stock &amp; W Capital'!$D$15))*$C159*D$124</f>
        <v>  -   </v>
      </c>
      <c r="E159" s="88" t="str">
        <f>((D91*(1-'5.Closing Stock &amp; W Capital'!$D$15))+(C91*'5.Closing Stock &amp; W Capital'!$D$15))*$C159*E$124</f>
        <v>  -   </v>
      </c>
      <c r="F159" s="88" t="str">
        <f>((E91*(1-'5.Closing Stock &amp; W Capital'!$D$15))+(D91*'5.Closing Stock &amp; W Capital'!$D$15))*$C$152*F$124</f>
        <v>  -   </v>
      </c>
      <c r="G159" s="88" t="str">
        <f>((F91*(1-'5.Closing Stock &amp; W Capital'!$D$15))+(E91*'5.Closing Stock &amp; W Capital'!$D$15))*$C$152*G$124</f>
        <v>  -   </v>
      </c>
      <c r="H159" s="88" t="str">
        <f>((G91*(1-'5.Closing Stock &amp; W Capital'!$D$15))+(F91*'5.Closing Stock &amp; W Capital'!$D$15))*$C$152*H$124</f>
        <v>  -   </v>
      </c>
      <c r="I159" s="88" t="str">
        <f>((H91*(1-'5.Closing Stock &amp; W Capital'!$D$15))+(G91*'5.Closing Stock &amp; W Capital'!$D$15))*$C$152*I$124</f>
        <v>  -   </v>
      </c>
      <c r="J159" s="88" t="str">
        <f>((I91*(1-'5.Closing Stock &amp; W Capital'!$D$15))+(H91*'5.Closing Stock &amp; W Capital'!$D$15))*$C$152*J$124</f>
        <v>  -   </v>
      </c>
      <c r="K159" s="93"/>
      <c r="U159" s="93"/>
      <c r="V159" s="93"/>
      <c r="W159" s="93"/>
    </row>
    <row r="160">
      <c r="A160" s="87" t="str">
        <f t="shared" si="55"/>
        <v/>
      </c>
      <c r="B160" s="87"/>
      <c r="C160" s="391"/>
      <c r="D160" s="88" t="str">
        <f>(C92*(1-'5.Closing Stock &amp; W Capital'!$D$15))*$C160*D$124</f>
        <v>  -   </v>
      </c>
      <c r="E160" s="88" t="str">
        <f>((D92*(1-'5.Closing Stock &amp; W Capital'!$D$15))+(C92*'5.Closing Stock &amp; W Capital'!$D$15))*$C160*E$124</f>
        <v>  -   </v>
      </c>
      <c r="F160" s="88" t="str">
        <f>((E92*(1-'5.Closing Stock &amp; W Capital'!$D$15))+(D92*'5.Closing Stock &amp; W Capital'!$D$15))*$C$152*F$124</f>
        <v>  -   </v>
      </c>
      <c r="G160" s="88" t="str">
        <f>((F92*(1-'5.Closing Stock &amp; W Capital'!$D$15))+(E92*'5.Closing Stock &amp; W Capital'!$D$15))*$C$152*G$124</f>
        <v>  -   </v>
      </c>
      <c r="H160" s="88" t="str">
        <f>((G92*(1-'5.Closing Stock &amp; W Capital'!$D$15))+(F92*'5.Closing Stock &amp; W Capital'!$D$15))*$C$152*H$124</f>
        <v>  -   </v>
      </c>
      <c r="I160" s="88" t="str">
        <f>((H92*(1-'5.Closing Stock &amp; W Capital'!$D$15))+(G92*'5.Closing Stock &amp; W Capital'!$D$15))*$C$152*I$124</f>
        <v>  -   </v>
      </c>
      <c r="J160" s="88" t="str">
        <f>((I92*(1-'5.Closing Stock &amp; W Capital'!$D$15))+(H92*'5.Closing Stock &amp; W Capital'!$D$15))*$C$152*J$124</f>
        <v>  -   </v>
      </c>
      <c r="K160" s="93"/>
      <c r="U160" s="93"/>
      <c r="V160" s="93"/>
      <c r="W160" s="93"/>
    </row>
    <row r="161">
      <c r="A161" s="87" t="str">
        <f t="shared" si="55"/>
        <v/>
      </c>
      <c r="B161" s="87"/>
      <c r="C161" s="391"/>
      <c r="D161" s="88" t="str">
        <f>(C93*(1-'5.Closing Stock &amp; W Capital'!$D$15))*$C161*D$124</f>
        <v>  -   </v>
      </c>
      <c r="E161" s="88" t="str">
        <f>((D93*(1-'5.Closing Stock &amp; W Capital'!$D$15))+(C93*'5.Closing Stock &amp; W Capital'!$D$15))*$C161*E$124</f>
        <v>  -   </v>
      </c>
      <c r="F161" s="88" t="str">
        <f>((E93*(1-'5.Closing Stock &amp; W Capital'!$D$15))+(D93*'5.Closing Stock &amp; W Capital'!$D$15))*$C$152*F$124</f>
        <v>  -   </v>
      </c>
      <c r="G161" s="88" t="str">
        <f>((F93*(1-'5.Closing Stock &amp; W Capital'!$D$15))+(E93*'5.Closing Stock &amp; W Capital'!$D$15))*$C$152*G$124</f>
        <v>  -   </v>
      </c>
      <c r="H161" s="88" t="str">
        <f>((G93*(1-'5.Closing Stock &amp; W Capital'!$D$15))+(F93*'5.Closing Stock &amp; W Capital'!$D$15))*$C$152*H$124</f>
        <v>  -   </v>
      </c>
      <c r="I161" s="88" t="str">
        <f>((H93*(1-'5.Closing Stock &amp; W Capital'!$D$15))+(G93*'5.Closing Stock &amp; W Capital'!$D$15))*$C$152*I$124</f>
        <v>  -   </v>
      </c>
      <c r="J161" s="88" t="str">
        <f>((I93*(1-'5.Closing Stock &amp; W Capital'!$D$15))+(H93*'5.Closing Stock &amp; W Capital'!$D$15))*$C$152*J$124</f>
        <v>  -   </v>
      </c>
      <c r="K161" s="93"/>
      <c r="U161" s="93"/>
      <c r="V161" s="93"/>
      <c r="W161" s="93"/>
    </row>
    <row r="162">
      <c r="A162" s="87" t="str">
        <f t="shared" si="55"/>
        <v/>
      </c>
      <c r="B162" s="87"/>
      <c r="C162" s="391"/>
      <c r="D162" s="88" t="str">
        <f>(C94*(1-'5.Closing Stock &amp; W Capital'!$D$15))*$C162*D$124</f>
        <v>  -   </v>
      </c>
      <c r="E162" s="88" t="str">
        <f>((D94*(1-'5.Closing Stock &amp; W Capital'!$D$15))+(C94*'5.Closing Stock &amp; W Capital'!$D$15))*$C162*E$124</f>
        <v>  -   </v>
      </c>
      <c r="F162" s="88" t="str">
        <f>((E94*(1-'5.Closing Stock &amp; W Capital'!$D$15))+(D94*'5.Closing Stock &amp; W Capital'!$D$15))*$C$152*F$124</f>
        <v>  -   </v>
      </c>
      <c r="G162" s="88" t="str">
        <f>((F94*(1-'5.Closing Stock &amp; W Capital'!$D$15))+(E94*'5.Closing Stock &amp; W Capital'!$D$15))*$C$152*G$124</f>
        <v>  -   </v>
      </c>
      <c r="H162" s="88" t="str">
        <f>((G94*(1-'5.Closing Stock &amp; W Capital'!$D$15))+(F94*'5.Closing Stock &amp; W Capital'!$D$15))*$C$152*H$124</f>
        <v>  -   </v>
      </c>
      <c r="I162" s="88" t="str">
        <f>((H94*(1-'5.Closing Stock &amp; W Capital'!$D$15))+(G94*'5.Closing Stock &amp; W Capital'!$D$15))*$C$152*I$124</f>
        <v>  -   </v>
      </c>
      <c r="J162" s="88" t="str">
        <f>((I94*(1-'5.Closing Stock &amp; W Capital'!$D$15))+(H94*'5.Closing Stock &amp; W Capital'!$D$15))*$C$152*J$124</f>
        <v>  -   </v>
      </c>
      <c r="K162" s="93"/>
      <c r="U162" s="93"/>
      <c r="V162" s="93"/>
      <c r="W162" s="93"/>
    </row>
    <row r="163">
      <c r="A163" s="87" t="str">
        <f t="shared" si="55"/>
        <v>Onion</v>
      </c>
      <c r="B163" s="87"/>
      <c r="C163" s="391"/>
      <c r="D163" s="88" t="str">
        <f>(C95*(1-'5.Closing Stock &amp; W Capital'!$D$15))*$C163*D$124</f>
        <v>  -   </v>
      </c>
      <c r="E163" s="88" t="str">
        <f>((D95*(1-'5.Closing Stock &amp; W Capital'!$D$15))+(C95*'5.Closing Stock &amp; W Capital'!$D$15))*$C163*E$124</f>
        <v>  -   </v>
      </c>
      <c r="F163" s="88" t="str">
        <f>((E95*(1-'5.Closing Stock &amp; W Capital'!$D$15))+(D95*'5.Closing Stock &amp; W Capital'!$D$15))*$C$152*F$124</f>
        <v>  -   </v>
      </c>
      <c r="G163" s="88" t="str">
        <f>((F95*(1-'5.Closing Stock &amp; W Capital'!$D$15))+(E95*'5.Closing Stock &amp; W Capital'!$D$15))*$C$152*G$124</f>
        <v>  -   </v>
      </c>
      <c r="H163" s="88" t="str">
        <f>((G95*(1-'5.Closing Stock &amp; W Capital'!$D$15))+(F95*'5.Closing Stock &amp; W Capital'!$D$15))*$C$152*H$124</f>
        <v>  -   </v>
      </c>
      <c r="I163" s="88" t="str">
        <f>((H95*(1-'5.Closing Stock &amp; W Capital'!$D$15))+(G95*'5.Closing Stock &amp; W Capital'!$D$15))*$C$152*I$124</f>
        <v>  -   </v>
      </c>
      <c r="J163" s="88" t="str">
        <f>((I95*(1-'5.Closing Stock &amp; W Capital'!$D$15))+(H95*'5.Closing Stock &amp; W Capital'!$D$15))*$C$152*J$124</f>
        <v>  -   </v>
      </c>
      <c r="K163" s="93"/>
      <c r="U163" s="93"/>
      <c r="V163" s="93"/>
      <c r="W163" s="93"/>
    </row>
    <row r="164">
      <c r="A164" s="87" t="str">
        <f t="shared" si="55"/>
        <v>Tomato</v>
      </c>
      <c r="B164" s="87"/>
      <c r="C164" s="391"/>
      <c r="D164" s="88" t="str">
        <f>(C96*(1-'5.Closing Stock &amp; W Capital'!$D$15))*$C164*D$124</f>
        <v>  -   </v>
      </c>
      <c r="E164" s="88" t="str">
        <f>((D96*(1-'5.Closing Stock &amp; W Capital'!$D$15))+(C96*'5.Closing Stock &amp; W Capital'!$D$15))*$C164*E$124</f>
        <v>  -   </v>
      </c>
      <c r="F164" s="88" t="str">
        <f>((E96*(1-'5.Closing Stock &amp; W Capital'!$D$15))+(D96*'5.Closing Stock &amp; W Capital'!$D$15))*$C$152*F$124</f>
        <v>  -   </v>
      </c>
      <c r="G164" s="88" t="str">
        <f>((F96*(1-'5.Closing Stock &amp; W Capital'!$D$15))+(E96*'5.Closing Stock &amp; W Capital'!$D$15))*$C$152*G$124</f>
        <v>  -   </v>
      </c>
      <c r="H164" s="88" t="str">
        <f>((G96*(1-'5.Closing Stock &amp; W Capital'!$D$15))+(F96*'5.Closing Stock &amp; W Capital'!$D$15))*$C$152*H$124</f>
        <v>  -   </v>
      </c>
      <c r="I164" s="88" t="str">
        <f>((H96*(1-'5.Closing Stock &amp; W Capital'!$D$15))+(G96*'5.Closing Stock &amp; W Capital'!$D$15))*$C$152*I$124</f>
        <v>  -   </v>
      </c>
      <c r="J164" s="88" t="str">
        <f>((I96*(1-'5.Closing Stock &amp; W Capital'!$D$15))+(H96*'5.Closing Stock &amp; W Capital'!$D$15))*$C$152*J$124</f>
        <v>  -   </v>
      </c>
      <c r="K164" s="93"/>
      <c r="U164" s="93"/>
      <c r="V164" s="93"/>
      <c r="W164" s="93"/>
    </row>
    <row r="165">
      <c r="A165" s="87" t="str">
        <f t="shared" si="55"/>
        <v>Okra</v>
      </c>
      <c r="B165" s="87"/>
      <c r="C165" s="391"/>
      <c r="D165" s="88" t="str">
        <f>(C97*(1-'5.Closing Stock &amp; W Capital'!$D$15))*$C165*D$124</f>
        <v>  -   </v>
      </c>
      <c r="E165" s="88" t="str">
        <f>((D97*(1-'5.Closing Stock &amp; W Capital'!$D$15))+(C97*'5.Closing Stock &amp; W Capital'!$D$15))*$C165*E$124</f>
        <v>  -   </v>
      </c>
      <c r="F165" s="88" t="str">
        <f>((E97*(1-'5.Closing Stock &amp; W Capital'!$D$15))+(D97*'5.Closing Stock &amp; W Capital'!$D$15))*$C$152*F$124</f>
        <v>  -   </v>
      </c>
      <c r="G165" s="88" t="str">
        <f>((F97*(1-'5.Closing Stock &amp; W Capital'!$D$15))+(E97*'5.Closing Stock &amp; W Capital'!$D$15))*$C$152*G$124</f>
        <v>  -   </v>
      </c>
      <c r="H165" s="88" t="str">
        <f>((G97*(1-'5.Closing Stock &amp; W Capital'!$D$15))+(F97*'5.Closing Stock &amp; W Capital'!$D$15))*$C$152*H$124</f>
        <v>  -   </v>
      </c>
      <c r="I165" s="88" t="str">
        <f>((H97*(1-'5.Closing Stock &amp; W Capital'!$D$15))+(G97*'5.Closing Stock &amp; W Capital'!$D$15))*$C$152*I$124</f>
        <v>  -   </v>
      </c>
      <c r="J165" s="88" t="str">
        <f>((I97*(1-'5.Closing Stock &amp; W Capital'!$D$15))+(H97*'5.Closing Stock &amp; W Capital'!$D$15))*$C$152*J$124</f>
        <v>  -   </v>
      </c>
      <c r="K165" s="93"/>
      <c r="U165" s="93"/>
      <c r="V165" s="93"/>
      <c r="W165" s="93"/>
    </row>
    <row r="166">
      <c r="A166" s="87" t="str">
        <f t="shared" si="55"/>
        <v>Chilli</v>
      </c>
      <c r="B166" s="87"/>
      <c r="C166" s="391"/>
      <c r="D166" s="88" t="str">
        <f>(C98*(1-'5.Closing Stock &amp; W Capital'!$D$15))*$C166*D$124</f>
        <v>  -   </v>
      </c>
      <c r="E166" s="88" t="str">
        <f>((D98*(1-'5.Closing Stock &amp; W Capital'!$D$15))+(C98*'5.Closing Stock &amp; W Capital'!$D$15))*$C166*E$124</f>
        <v>  -   </v>
      </c>
      <c r="F166" s="88" t="str">
        <f>((E98*(1-'5.Closing Stock &amp; W Capital'!$D$15))+(D98*'5.Closing Stock &amp; W Capital'!$D$15))*$C$152*F$124</f>
        <v>  -   </v>
      </c>
      <c r="G166" s="88" t="str">
        <f>((F98*(1-'5.Closing Stock &amp; W Capital'!$D$15))+(E98*'5.Closing Stock &amp; W Capital'!$D$15))*$C$152*G$124</f>
        <v>  -   </v>
      </c>
      <c r="H166" s="88" t="str">
        <f>((G98*(1-'5.Closing Stock &amp; W Capital'!$D$15))+(F98*'5.Closing Stock &amp; W Capital'!$D$15))*$C$152*H$124</f>
        <v>  -   </v>
      </c>
      <c r="I166" s="88" t="str">
        <f>((H98*(1-'5.Closing Stock &amp; W Capital'!$D$15))+(G98*'5.Closing Stock &amp; W Capital'!$D$15))*$C$152*I$124</f>
        <v>  -   </v>
      </c>
      <c r="J166" s="88" t="str">
        <f>((I98*(1-'5.Closing Stock &amp; W Capital'!$D$15))+(H98*'5.Closing Stock &amp; W Capital'!$D$15))*$C$152*J$124</f>
        <v>  -   </v>
      </c>
      <c r="K166" s="93"/>
      <c r="U166" s="93"/>
      <c r="V166" s="93"/>
      <c r="W166" s="93"/>
    </row>
    <row r="167">
      <c r="A167" s="87" t="str">
        <f t="shared" si="55"/>
        <v>Brinjal</v>
      </c>
      <c r="B167" s="87"/>
      <c r="C167" s="391"/>
      <c r="D167" s="88" t="str">
        <f>(C99*(1-'5.Closing Stock &amp; W Capital'!$D$15))*$C167*D$124</f>
        <v>  -   </v>
      </c>
      <c r="E167" s="88" t="str">
        <f>((D99*(1-'5.Closing Stock &amp; W Capital'!$D$15))+(C99*'5.Closing Stock &amp; W Capital'!$D$15))*$C167*E$124</f>
        <v>  -   </v>
      </c>
      <c r="F167" s="88" t="str">
        <f>((E99*(1-'5.Closing Stock &amp; W Capital'!$D$15))+(D99*'5.Closing Stock &amp; W Capital'!$D$15))*$C$152*F$124</f>
        <v>  -   </v>
      </c>
      <c r="G167" s="88" t="str">
        <f>((F99*(1-'5.Closing Stock &amp; W Capital'!$D$15))+(E99*'5.Closing Stock &amp; W Capital'!$D$15))*$C$152*G$124</f>
        <v>  -   </v>
      </c>
      <c r="H167" s="88" t="str">
        <f>((G99*(1-'5.Closing Stock &amp; W Capital'!$D$15))+(F99*'5.Closing Stock &amp; W Capital'!$D$15))*$C$152*H$124</f>
        <v>  -   </v>
      </c>
      <c r="I167" s="88" t="str">
        <f>((H99*(1-'5.Closing Stock &amp; W Capital'!$D$15))+(G99*'5.Closing Stock &amp; W Capital'!$D$15))*$C$152*I$124</f>
        <v>  -   </v>
      </c>
      <c r="J167" s="88" t="str">
        <f>((I99*(1-'5.Closing Stock &amp; W Capital'!$D$15))+(H99*'5.Closing Stock &amp; W Capital'!$D$15))*$C$152*J$124</f>
        <v>  -   </v>
      </c>
      <c r="K167" s="93"/>
      <c r="U167" s="93"/>
      <c r="V167" s="93"/>
      <c r="W167" s="93"/>
    </row>
    <row r="168">
      <c r="A168" s="87" t="str">
        <f t="shared" si="55"/>
        <v/>
      </c>
      <c r="B168" s="87"/>
      <c r="C168" s="391"/>
      <c r="D168" s="88" t="str">
        <f>(C100*(1-'5.Closing Stock &amp; W Capital'!$D$15))*$C168*D$124</f>
        <v>  -   </v>
      </c>
      <c r="E168" s="88" t="str">
        <f>((D100*(1-'5.Closing Stock &amp; W Capital'!$D$15))+(C100*'5.Closing Stock &amp; W Capital'!$D$15))*$C168*E$124</f>
        <v>  -   </v>
      </c>
      <c r="F168" s="88" t="str">
        <f>((E100*(1-'5.Closing Stock &amp; W Capital'!$D$15))+(D100*'5.Closing Stock &amp; W Capital'!$D$15))*$C$152*F$124</f>
        <v>  -   </v>
      </c>
      <c r="G168" s="88" t="str">
        <f>((F100*(1-'5.Closing Stock &amp; W Capital'!$D$15))+(E100*'5.Closing Stock &amp; W Capital'!$D$15))*$C$152*G$124</f>
        <v>  -   </v>
      </c>
      <c r="H168" s="88" t="str">
        <f>((G100*(1-'5.Closing Stock &amp; W Capital'!$D$15))+(F100*'5.Closing Stock &amp; W Capital'!$D$15))*$C$152*H$124</f>
        <v>  -   </v>
      </c>
      <c r="I168" s="88" t="str">
        <f>((H100*(1-'5.Closing Stock &amp; W Capital'!$D$15))+(G100*'5.Closing Stock &amp; W Capital'!$D$15))*$C$152*I$124</f>
        <v>  -   </v>
      </c>
      <c r="J168" s="88" t="str">
        <f>((I100*(1-'5.Closing Stock &amp; W Capital'!$D$15))+(H100*'5.Closing Stock &amp; W Capital'!$D$15))*$C$152*J$124</f>
        <v>  -   </v>
      </c>
      <c r="K168" s="93"/>
      <c r="U168" s="93"/>
      <c r="V168" s="93"/>
      <c r="W168" s="93"/>
    </row>
    <row r="169">
      <c r="A169" s="87" t="str">
        <f t="shared" si="55"/>
        <v/>
      </c>
      <c r="B169" s="87"/>
      <c r="C169" s="391"/>
      <c r="D169" s="88" t="str">
        <f>(C101*(1-'5.Closing Stock &amp; W Capital'!$D$15))*$C169*D$124</f>
        <v>  -   </v>
      </c>
      <c r="E169" s="88" t="str">
        <f>((D101*(1-'5.Closing Stock &amp; W Capital'!$D$15))+(C101*'5.Closing Stock &amp; W Capital'!$D$15))*$C169*E$124</f>
        <v>  -   </v>
      </c>
      <c r="F169" s="88" t="str">
        <f>((E101*(1-'5.Closing Stock &amp; W Capital'!$D$15))+(D101*'5.Closing Stock &amp; W Capital'!$D$15))*$C$152*F$124</f>
        <v>  -   </v>
      </c>
      <c r="G169" s="88" t="str">
        <f>((F101*(1-'5.Closing Stock &amp; W Capital'!$D$15))+(E101*'5.Closing Stock &amp; W Capital'!$D$15))*$C$152*G$124</f>
        <v>  -   </v>
      </c>
      <c r="H169" s="88" t="str">
        <f>((G101*(1-'5.Closing Stock &amp; W Capital'!$D$15))+(F101*'5.Closing Stock &amp; W Capital'!$D$15))*$C$152*H$124</f>
        <v>  -   </v>
      </c>
      <c r="I169" s="88" t="str">
        <f>((H101*(1-'5.Closing Stock &amp; W Capital'!$D$15))+(G101*'5.Closing Stock &amp; W Capital'!$D$15))*$C$152*I$124</f>
        <v>  -   </v>
      </c>
      <c r="J169" s="88" t="str">
        <f>((I101*(1-'5.Closing Stock &amp; W Capital'!$D$15))+(H101*'5.Closing Stock &amp; W Capital'!$D$15))*$C$152*J$124</f>
        <v>  -   </v>
      </c>
      <c r="K169" s="93"/>
      <c r="U169" s="93"/>
      <c r="V169" s="93"/>
      <c r="W169" s="93"/>
    </row>
    <row r="170">
      <c r="A170" s="87" t="str">
        <f t="shared" si="55"/>
        <v/>
      </c>
      <c r="B170" s="87"/>
      <c r="C170" s="391"/>
      <c r="D170" s="88" t="str">
        <f>(C102*(1-'5.Closing Stock &amp; W Capital'!$D$15))*$C170*D$124</f>
        <v>  -   </v>
      </c>
      <c r="E170" s="88" t="str">
        <f>((D102*(1-'5.Closing Stock &amp; W Capital'!$D$15))+(C102*'5.Closing Stock &amp; W Capital'!$D$15))*$C170*E$124</f>
        <v>  -   </v>
      </c>
      <c r="F170" s="88" t="str">
        <f>((E102*(1-'5.Closing Stock &amp; W Capital'!$D$15))+(D102*'5.Closing Stock &amp; W Capital'!$D$15))*$C$152*F$124</f>
        <v>  -   </v>
      </c>
      <c r="G170" s="88" t="str">
        <f>((F102*(1-'5.Closing Stock &amp; W Capital'!$D$15))+(E102*'5.Closing Stock &amp; W Capital'!$D$15))*$C$152*G$124</f>
        <v>  -   </v>
      </c>
      <c r="H170" s="88" t="str">
        <f>((G102*(1-'5.Closing Stock &amp; W Capital'!$D$15))+(F102*'5.Closing Stock &amp; W Capital'!$D$15))*$C$152*H$124</f>
        <v>  -   </v>
      </c>
      <c r="I170" s="88" t="str">
        <f>((H102*(1-'5.Closing Stock &amp; W Capital'!$D$15))+(G102*'5.Closing Stock &amp; W Capital'!$D$15))*$C$152*I$124</f>
        <v>  -   </v>
      </c>
      <c r="J170" s="88" t="str">
        <f>((I102*(1-'5.Closing Stock &amp; W Capital'!$D$15))+(H102*'5.Closing Stock &amp; W Capital'!$D$15))*$C$152*J$124</f>
        <v>  -   </v>
      </c>
      <c r="K170" s="93"/>
      <c r="U170" s="93"/>
      <c r="V170" s="93"/>
      <c r="W170" s="93"/>
    </row>
    <row r="171">
      <c r="A171" s="87" t="str">
        <f t="shared" si="55"/>
        <v/>
      </c>
      <c r="B171" s="87"/>
      <c r="C171" s="391"/>
      <c r="D171" s="88" t="str">
        <f>(C103*(1-'5.Closing Stock &amp; W Capital'!$D$15))*$C171*D$124</f>
        <v>  -   </v>
      </c>
      <c r="E171" s="88" t="str">
        <f>((D103*(1-'5.Closing Stock &amp; W Capital'!$D$15))+(C103*'5.Closing Stock &amp; W Capital'!$D$15))*$C171*E$124</f>
        <v>  -   </v>
      </c>
      <c r="F171" s="88" t="str">
        <f>((E103*(1-'5.Closing Stock &amp; W Capital'!$D$15))+(D103*'5.Closing Stock &amp; W Capital'!$D$15))*$C$152*F$124</f>
        <v>  -   </v>
      </c>
      <c r="G171" s="88" t="str">
        <f>((F103*(1-'5.Closing Stock &amp; W Capital'!$D$15))+(E103*'5.Closing Stock &amp; W Capital'!$D$15))*$C$152*G$124</f>
        <v>  -   </v>
      </c>
      <c r="H171" s="88" t="str">
        <f>((G103*(1-'5.Closing Stock &amp; W Capital'!$D$15))+(F103*'5.Closing Stock &amp; W Capital'!$D$15))*$C$152*H$124</f>
        <v>  -   </v>
      </c>
      <c r="I171" s="88" t="str">
        <f>((H103*(1-'5.Closing Stock &amp; W Capital'!$D$15))+(G103*'5.Closing Stock &amp; W Capital'!$D$15))*$C$152*I$124</f>
        <v>  -   </v>
      </c>
      <c r="J171" s="88" t="str">
        <f>((I103*(1-'5.Closing Stock &amp; W Capital'!$D$15))+(H103*'5.Closing Stock &amp; W Capital'!$D$15))*$C$152*J$124</f>
        <v>  -   </v>
      </c>
      <c r="K171" s="93"/>
      <c r="U171" s="93"/>
      <c r="V171" s="93"/>
      <c r="W171" s="93"/>
    </row>
    <row r="172">
      <c r="A172" s="87" t="str">
        <f t="shared" si="55"/>
        <v/>
      </c>
      <c r="B172" s="87"/>
      <c r="C172" s="391"/>
      <c r="D172" s="88" t="str">
        <f>(C104*(1-'5.Closing Stock &amp; W Capital'!$D$15))*$C172*D$124</f>
        <v>  -   </v>
      </c>
      <c r="E172" s="88" t="str">
        <f>((D104*(1-'5.Closing Stock &amp; W Capital'!$D$15))+(C104*'5.Closing Stock &amp; W Capital'!$D$15))*$C172*E$124</f>
        <v>  -   </v>
      </c>
      <c r="F172" s="88" t="str">
        <f>((E104*(1-'5.Closing Stock &amp; W Capital'!$D$15))+(D104*'5.Closing Stock &amp; W Capital'!$D$15))*$C$152*F$124</f>
        <v>  -   </v>
      </c>
      <c r="G172" s="88" t="str">
        <f>((F104*(1-'5.Closing Stock &amp; W Capital'!$D$15))+(E104*'5.Closing Stock &amp; W Capital'!$D$15))*$C$152*G$124</f>
        <v>  -   </v>
      </c>
      <c r="H172" s="88" t="str">
        <f>((G104*(1-'5.Closing Stock &amp; W Capital'!$D$15))+(F104*'5.Closing Stock &amp; W Capital'!$D$15))*$C$152*H$124</f>
        <v>  -   </v>
      </c>
      <c r="I172" s="88" t="str">
        <f>((H104*(1-'5.Closing Stock &amp; W Capital'!$D$15))+(G104*'5.Closing Stock &amp; W Capital'!$D$15))*$C$152*I$124</f>
        <v>  -   </v>
      </c>
      <c r="J172" s="88" t="str">
        <f>((I104*(1-'5.Closing Stock &amp; W Capital'!$D$15))+(H104*'5.Closing Stock &amp; W Capital'!$D$15))*$C$152*J$124</f>
        <v>  -   </v>
      </c>
      <c r="K172" s="93"/>
      <c r="U172" s="93"/>
      <c r="V172" s="93"/>
      <c r="W172" s="93"/>
    </row>
    <row r="173">
      <c r="A173" s="87" t="str">
        <f t="shared" si="55"/>
        <v/>
      </c>
      <c r="B173" s="87"/>
      <c r="C173" s="391"/>
      <c r="D173" s="88" t="str">
        <f>(C105*(1-'5.Closing Stock &amp; W Capital'!$D$15))*$C173*D$124</f>
        <v>  -   </v>
      </c>
      <c r="E173" s="88" t="str">
        <f>((D105*(1-'5.Closing Stock &amp; W Capital'!$D$15))+(C105*'5.Closing Stock &amp; W Capital'!$D$15))*$C173*E$124</f>
        <v>  -   </v>
      </c>
      <c r="F173" s="88" t="str">
        <f>((E105*(1-'5.Closing Stock &amp; W Capital'!$D$15))+(D105*'5.Closing Stock &amp; W Capital'!$D$15))*$C$152*F$124</f>
        <v>  -   </v>
      </c>
      <c r="G173" s="88" t="str">
        <f>((F105*(1-'5.Closing Stock &amp; W Capital'!$D$15))+(E105*'5.Closing Stock &amp; W Capital'!$D$15))*$C$152*G$124</f>
        <v>  -   </v>
      </c>
      <c r="H173" s="88" t="str">
        <f>((G105*(1-'5.Closing Stock &amp; W Capital'!$D$15))+(F105*'5.Closing Stock &amp; W Capital'!$D$15))*$C$152*H$124</f>
        <v>  -   </v>
      </c>
      <c r="I173" s="88" t="str">
        <f>((H105*(1-'5.Closing Stock &amp; W Capital'!$D$15))+(G105*'5.Closing Stock &amp; W Capital'!$D$15))*$C$152*I$124</f>
        <v>  -   </v>
      </c>
      <c r="J173" s="88" t="str">
        <f>((I105*(1-'5.Closing Stock &amp; W Capital'!$D$15))+(H105*'5.Closing Stock &amp; W Capital'!$D$15))*$C$152*J$124</f>
        <v>  -   </v>
      </c>
      <c r="K173" s="93"/>
      <c r="U173" s="93"/>
      <c r="V173" s="93"/>
      <c r="W173" s="93"/>
    </row>
    <row r="174">
      <c r="A174" s="87" t="str">
        <f t="shared" si="55"/>
        <v/>
      </c>
      <c r="B174" s="87"/>
      <c r="C174" s="391"/>
      <c r="D174" s="88" t="str">
        <f>(C106*(1-'5.Closing Stock &amp; W Capital'!$D$15))*$C174*D$124</f>
        <v>  -   </v>
      </c>
      <c r="E174" s="88" t="str">
        <f>((D106*(1-'5.Closing Stock &amp; W Capital'!$D$15))+(C106*'5.Closing Stock &amp; W Capital'!$D$15))*$C174*E$124</f>
        <v>  -   </v>
      </c>
      <c r="F174" s="88" t="str">
        <f>((E106*(1-'5.Closing Stock &amp; W Capital'!$D$15))+(D106*'5.Closing Stock &amp; W Capital'!$D$15))*$C$152*F$124</f>
        <v>  -   </v>
      </c>
      <c r="G174" s="88" t="str">
        <f>((F106*(1-'5.Closing Stock &amp; W Capital'!$D$15))+(E106*'5.Closing Stock &amp; W Capital'!$D$15))*$C$152*G$124</f>
        <v>  -   </v>
      </c>
      <c r="H174" s="88" t="str">
        <f>((G106*(1-'5.Closing Stock &amp; W Capital'!$D$15))+(F106*'5.Closing Stock &amp; W Capital'!$D$15))*$C$152*H$124</f>
        <v>  -   </v>
      </c>
      <c r="I174" s="88" t="str">
        <f>((H106*(1-'5.Closing Stock &amp; W Capital'!$D$15))+(G106*'5.Closing Stock &amp; W Capital'!$D$15))*$C$152*I$124</f>
        <v>  -   </v>
      </c>
      <c r="J174" s="88" t="str">
        <f>((I106*(1-'5.Closing Stock &amp; W Capital'!$D$15))+(H106*'5.Closing Stock &amp; W Capital'!$D$15))*$C$152*J$124</f>
        <v>  -   </v>
      </c>
      <c r="K174" s="93"/>
      <c r="U174" s="93"/>
      <c r="V174" s="93"/>
      <c r="W174" s="93"/>
    </row>
    <row r="175">
      <c r="A175" s="87" t="str">
        <f t="shared" si="55"/>
        <v>Pomegranate</v>
      </c>
      <c r="B175" s="87"/>
      <c r="C175" s="391"/>
      <c r="D175" s="88" t="str">
        <f>(C107*(1-'5.Closing Stock &amp; W Capital'!$D$15))*$C175*D$124</f>
        <v>  -   </v>
      </c>
      <c r="E175" s="88" t="str">
        <f>((D107*(1-'5.Closing Stock &amp; W Capital'!$D$15))+(C107*'5.Closing Stock &amp; W Capital'!$D$15))*$C175*E$124</f>
        <v>  -   </v>
      </c>
      <c r="F175" s="88" t="str">
        <f>((E107*(1-'5.Closing Stock &amp; W Capital'!$D$15))+(D107*'5.Closing Stock &amp; W Capital'!$D$15))*$C$152*F$124</f>
        <v>  -   </v>
      </c>
      <c r="G175" s="88" t="str">
        <f>((F107*(1-'5.Closing Stock &amp; W Capital'!$D$15))+(E107*'5.Closing Stock &amp; W Capital'!$D$15))*$C$152*G$124</f>
        <v>  -   </v>
      </c>
      <c r="H175" s="88" t="str">
        <f>((G107*(1-'5.Closing Stock &amp; W Capital'!$D$15))+(F107*'5.Closing Stock &amp; W Capital'!$D$15))*$C$152*H$124</f>
        <v>  -   </v>
      </c>
      <c r="I175" s="88" t="str">
        <f>((H107*(1-'5.Closing Stock &amp; W Capital'!$D$15))+(G107*'5.Closing Stock &amp; W Capital'!$D$15))*$C$152*I$124</f>
        <v>  -   </v>
      </c>
      <c r="J175" s="88" t="str">
        <f>((I107*(1-'5.Closing Stock &amp; W Capital'!$D$15))+(H107*'5.Closing Stock &amp; W Capital'!$D$15))*$C$152*J$124</f>
        <v>  -   </v>
      </c>
      <c r="K175" s="93"/>
      <c r="U175" s="93"/>
      <c r="V175" s="93"/>
      <c r="W175" s="93"/>
    </row>
    <row r="176">
      <c r="A176" s="87" t="str">
        <f t="shared" si="55"/>
        <v>Custard Apple</v>
      </c>
      <c r="B176" s="87"/>
      <c r="C176" s="391"/>
      <c r="D176" s="88" t="str">
        <f>(C108*(1-'5.Closing Stock &amp; W Capital'!$D$15))*$C176*D$124</f>
        <v>  -   </v>
      </c>
      <c r="E176" s="88" t="str">
        <f>((D108*(1-'5.Closing Stock &amp; W Capital'!$D$15))+(C108*'5.Closing Stock &amp; W Capital'!$D$15))*$C176*E$124</f>
        <v>  -   </v>
      </c>
      <c r="F176" s="88" t="str">
        <f>((E108*(1-'5.Closing Stock &amp; W Capital'!$D$15))+(D108*'5.Closing Stock &amp; W Capital'!$D$15))*$C$152*F$124</f>
        <v>  -   </v>
      </c>
      <c r="G176" s="88" t="str">
        <f>((F108*(1-'5.Closing Stock &amp; W Capital'!$D$15))+(E108*'5.Closing Stock &amp; W Capital'!$D$15))*$C$152*G$124</f>
        <v>  -   </v>
      </c>
      <c r="H176" s="88" t="str">
        <f>((G108*(1-'5.Closing Stock &amp; W Capital'!$D$15))+(F108*'5.Closing Stock &amp; W Capital'!$D$15))*$C$152*H$124</f>
        <v>  -   </v>
      </c>
      <c r="I176" s="88" t="str">
        <f>((H108*(1-'5.Closing Stock &amp; W Capital'!$D$15))+(G108*'5.Closing Stock &amp; W Capital'!$D$15))*$C$152*I$124</f>
        <v>  -   </v>
      </c>
      <c r="J176" s="88" t="str">
        <f>((I108*(1-'5.Closing Stock &amp; W Capital'!$D$15))+(H108*'5.Closing Stock &amp; W Capital'!$D$15))*$C$152*J$124</f>
        <v>  -   </v>
      </c>
      <c r="K176" s="93"/>
      <c r="U176" s="93"/>
      <c r="V176" s="93"/>
      <c r="W176" s="93"/>
    </row>
    <row r="177">
      <c r="A177" s="87" t="str">
        <f t="shared" si="55"/>
        <v>Guava</v>
      </c>
      <c r="B177" s="87"/>
      <c r="C177" s="391"/>
      <c r="D177" s="88" t="str">
        <f>(C109*(1-'5.Closing Stock &amp; W Capital'!$D$15))*$C177*D$124</f>
        <v>  -   </v>
      </c>
      <c r="E177" s="88" t="str">
        <f>((D109*(1-'5.Closing Stock &amp; W Capital'!$D$15))+(C109*'5.Closing Stock &amp; W Capital'!$D$15))*$C177*E$124</f>
        <v>  -   </v>
      </c>
      <c r="F177" s="88" t="str">
        <f>((E109*(1-'5.Closing Stock &amp; W Capital'!$D$15))+(D109*'5.Closing Stock &amp; W Capital'!$D$15))*$C$152*F$124</f>
        <v>  -   </v>
      </c>
      <c r="G177" s="88" t="str">
        <f>((F109*(1-'5.Closing Stock &amp; W Capital'!$D$15))+(E109*'5.Closing Stock &amp; W Capital'!$D$15))*$C$152*G$124</f>
        <v>  -   </v>
      </c>
      <c r="H177" s="88" t="str">
        <f>((G109*(1-'5.Closing Stock &amp; W Capital'!$D$15))+(F109*'5.Closing Stock &amp; W Capital'!$D$15))*$C$152*H$124</f>
        <v>  -   </v>
      </c>
      <c r="I177" s="88" t="str">
        <f>((H109*(1-'5.Closing Stock &amp; W Capital'!$D$15))+(G109*'5.Closing Stock &amp; W Capital'!$D$15))*$C$152*I$124</f>
        <v>  -   </v>
      </c>
      <c r="J177" s="88" t="str">
        <f>((I109*(1-'5.Closing Stock &amp; W Capital'!$D$15))+(H109*'5.Closing Stock &amp; W Capital'!$D$15))*$C$152*J$124</f>
        <v>  -   </v>
      </c>
      <c r="K177" s="93"/>
      <c r="U177" s="93"/>
      <c r="V177" s="93"/>
      <c r="W177" s="93"/>
    </row>
    <row r="178">
      <c r="A178" s="87" t="str">
        <f t="shared" si="55"/>
        <v>Citrus</v>
      </c>
      <c r="B178" s="87"/>
      <c r="C178" s="391"/>
      <c r="D178" s="88" t="str">
        <f>(C110*(1-'5.Closing Stock &amp; W Capital'!$D$15))*$C178*D$124</f>
        <v>  -   </v>
      </c>
      <c r="E178" s="88" t="str">
        <f>((D110*(1-'5.Closing Stock &amp; W Capital'!$D$15))+(C110*'5.Closing Stock &amp; W Capital'!$D$15))*$C178*E$124</f>
        <v>  -   </v>
      </c>
      <c r="F178" s="88" t="str">
        <f>((E110*(1-'5.Closing Stock &amp; W Capital'!$D$15))+(D110*'5.Closing Stock &amp; W Capital'!$D$15))*$C$152*F$124</f>
        <v>  -   </v>
      </c>
      <c r="G178" s="88" t="str">
        <f>((F110*(1-'5.Closing Stock &amp; W Capital'!$D$15))+(E110*'5.Closing Stock &amp; W Capital'!$D$15))*$C$152*G$124</f>
        <v>  -   </v>
      </c>
      <c r="H178" s="88" t="str">
        <f>((G110*(1-'5.Closing Stock &amp; W Capital'!$D$15))+(F110*'5.Closing Stock &amp; W Capital'!$D$15))*$C$152*H$124</f>
        <v>  -   </v>
      </c>
      <c r="I178" s="88" t="str">
        <f>((H110*(1-'5.Closing Stock &amp; W Capital'!$D$15))+(G110*'5.Closing Stock &amp; W Capital'!$D$15))*$C$152*I$124</f>
        <v>  -   </v>
      </c>
      <c r="J178" s="88" t="str">
        <f>((I110*(1-'5.Closing Stock &amp; W Capital'!$D$15))+(H110*'5.Closing Stock &amp; W Capital'!$D$15))*$C$152*J$124</f>
        <v>  -   </v>
      </c>
      <c r="K178" s="93"/>
      <c r="U178" s="93"/>
      <c r="V178" s="93"/>
      <c r="W178" s="93"/>
    </row>
    <row r="179">
      <c r="A179" s="87" t="str">
        <f t="shared" si="55"/>
        <v/>
      </c>
      <c r="B179" s="87"/>
      <c r="C179" s="391"/>
      <c r="D179" s="88"/>
      <c r="E179" s="88"/>
      <c r="F179" s="88"/>
      <c r="G179" s="88"/>
      <c r="H179" s="88"/>
      <c r="I179" s="88"/>
      <c r="J179" s="88"/>
      <c r="K179" s="93"/>
      <c r="U179" s="93"/>
      <c r="V179" s="93"/>
      <c r="W179" s="93"/>
    </row>
    <row r="180">
      <c r="A180" s="87"/>
      <c r="B180" s="87"/>
      <c r="C180" s="88"/>
      <c r="D180" s="88"/>
      <c r="E180" s="88"/>
      <c r="F180" s="88"/>
      <c r="G180" s="88"/>
      <c r="H180" s="88"/>
      <c r="I180" s="88"/>
      <c r="J180" s="88"/>
      <c r="K180" s="93"/>
      <c r="U180" s="93"/>
      <c r="V180" s="93"/>
      <c r="W180" s="93"/>
    </row>
    <row r="181">
      <c r="A181" s="87" t="s">
        <v>716</v>
      </c>
      <c r="B181" s="87"/>
      <c r="C181" s="88"/>
      <c r="D181" s="88"/>
      <c r="E181" s="88"/>
      <c r="F181" s="88"/>
      <c r="G181" s="88"/>
      <c r="H181" s="88"/>
      <c r="I181" s="88"/>
      <c r="J181" s="88"/>
      <c r="K181" s="93"/>
      <c r="U181" s="93"/>
      <c r="V181" s="93"/>
      <c r="W181" s="93"/>
    </row>
    <row r="182">
      <c r="A182" s="87" t="s">
        <v>708</v>
      </c>
      <c r="B182" s="87"/>
      <c r="C182" s="391" t="str">
        <f>350/50</f>
        <v>  7 </v>
      </c>
      <c r="D182" s="88" t="str">
        <f>(C114*(1-'5.Closing Stock &amp; W Capital'!$D$15))*$C$182*D124</f>
        <v>  -   </v>
      </c>
      <c r="E182" s="88" t="str">
        <f>((D114*(1-'5.Closing Stock &amp; W Capital'!$D$15))+(C114*'5.Closing Stock &amp; W Capital'!$D$15))*$C$182*E124</f>
        <v>  -   </v>
      </c>
      <c r="F182" s="88" t="str">
        <f>((E114*(1-'5.Closing Stock &amp; W Capital'!$D$15))+(D114*'5.Closing Stock &amp; W Capital'!$D$15))*$C$182*F124</f>
        <v>  -   </v>
      </c>
      <c r="G182" s="88" t="str">
        <f>((F114*(1-'5.Closing Stock &amp; W Capital'!$D$15))+(E114*'5.Closing Stock &amp; W Capital'!$D$15))*$C$182*G124</f>
        <v>  -   </v>
      </c>
      <c r="H182" s="88" t="str">
        <f>((G114*(1-'5.Closing Stock &amp; W Capital'!$D$15))+(F114*'5.Closing Stock &amp; W Capital'!$D$15))*$C$182*H124</f>
        <v>  -   </v>
      </c>
      <c r="I182" s="88" t="str">
        <f>((H114*(1-'5.Closing Stock &amp; W Capital'!$D$15))+(G114*'5.Closing Stock &amp; W Capital'!$D$15))*$C$182*I124</f>
        <v>  -   </v>
      </c>
      <c r="J182" s="88" t="str">
        <f>((I114*(1-'5.Closing Stock &amp; W Capital'!$D$15))+(H114*'5.Closing Stock &amp; W Capital'!$D$15))*$C$182*J124</f>
        <v>  -   </v>
      </c>
      <c r="K182" s="93"/>
      <c r="U182" s="93"/>
      <c r="V182" s="93"/>
      <c r="W182" s="93"/>
    </row>
    <row r="183">
      <c r="A183" s="87" t="s">
        <v>709</v>
      </c>
      <c r="B183" s="87"/>
      <c r="C183" s="391">
        <v>8.0</v>
      </c>
      <c r="D183" s="88" t="str">
        <f>(C115*(1-'5.Closing Stock &amp; W Capital'!$D$15))*$C$183*D124</f>
        <v>  -   </v>
      </c>
      <c r="E183" s="88" t="str">
        <f>((D115*(1-'5.Closing Stock &amp; W Capital'!$D$15))+(C115*'5.Closing Stock &amp; W Capital'!$D$15))*$C$183*E124</f>
        <v>  -   </v>
      </c>
      <c r="F183" s="88" t="str">
        <f>((E115*(1-'5.Closing Stock &amp; W Capital'!$D$15))+(D115*'5.Closing Stock &amp; W Capital'!$D$15))*$C$183*F124</f>
        <v>  -   </v>
      </c>
      <c r="G183" s="88" t="str">
        <f>((F115*(1-'5.Closing Stock &amp; W Capital'!$D$15))+(E115*'5.Closing Stock &amp; W Capital'!$D$15))*$C$183*G124</f>
        <v>  -   </v>
      </c>
      <c r="H183" s="88" t="str">
        <f>((G115*(1-'5.Closing Stock &amp; W Capital'!$D$15))+(F115*'5.Closing Stock &amp; W Capital'!$D$15))*$C$183*H124</f>
        <v>  -   </v>
      </c>
      <c r="I183" s="88" t="str">
        <f>((H115*(1-'5.Closing Stock &amp; W Capital'!$D$15))+(G115*'5.Closing Stock &amp; W Capital'!$D$15))*$C$183*I124</f>
        <v>  -   </v>
      </c>
      <c r="J183" s="88" t="str">
        <f>((I115*(1-'5.Closing Stock &amp; W Capital'!$D$15))+(H115*'5.Closing Stock &amp; W Capital'!$D$15))*$C$183*J124</f>
        <v>  -   </v>
      </c>
      <c r="K183" s="93"/>
      <c r="U183" s="93"/>
      <c r="V183" s="93"/>
      <c r="W183" s="93"/>
    </row>
    <row r="184">
      <c r="A184" s="87" t="s">
        <v>710</v>
      </c>
      <c r="B184" s="87"/>
      <c r="C184" s="391">
        <v>30.0</v>
      </c>
      <c r="D184" s="88" t="str">
        <f>(C116*(1-'5.Closing Stock &amp; W Capital'!$D$15))*$C$184*D124</f>
        <v>  -   </v>
      </c>
      <c r="E184" s="88" t="str">
        <f>((D116*(1-'5.Closing Stock &amp; W Capital'!$D$15))+(C116*'5.Closing Stock &amp; W Capital'!$D$15))*$C$184*E124</f>
        <v>  -   </v>
      </c>
      <c r="F184" s="88" t="str">
        <f>((E116*(1-'5.Closing Stock &amp; W Capital'!$D$15))+(D116*'5.Closing Stock &amp; W Capital'!$D$15))*$C$184*F124</f>
        <v>  -   </v>
      </c>
      <c r="G184" s="88" t="str">
        <f>((F116*(1-'5.Closing Stock &amp; W Capital'!$D$15))+(E116*'5.Closing Stock &amp; W Capital'!$D$15))*$C$184*G124</f>
        <v>  -   </v>
      </c>
      <c r="H184" s="88" t="str">
        <f>((G116*(1-'5.Closing Stock &amp; W Capital'!$D$15))+(F116*'5.Closing Stock &amp; W Capital'!$D$15))*$C$184*H124</f>
        <v>  -   </v>
      </c>
      <c r="I184" s="88" t="str">
        <f>((H116*(1-'5.Closing Stock &amp; W Capital'!$D$15))+(G116*'5.Closing Stock &amp; W Capital'!$D$15))*$C$184*I124</f>
        <v>  -   </v>
      </c>
      <c r="J184" s="88" t="str">
        <f>((I116*(1-'5.Closing Stock &amp; W Capital'!$D$15))+(H116*'5.Closing Stock &amp; W Capital'!$D$15))*$C$184*J124</f>
        <v>  -   </v>
      </c>
      <c r="K184" s="93"/>
      <c r="U184" s="93"/>
      <c r="V184" s="93"/>
      <c r="W184" s="93"/>
    </row>
    <row r="185">
      <c r="A185" s="87"/>
      <c r="B185" s="87"/>
      <c r="C185" s="88"/>
      <c r="D185" s="88"/>
      <c r="E185" s="88"/>
      <c r="F185" s="88"/>
      <c r="G185" s="88"/>
      <c r="H185" s="88"/>
      <c r="I185" s="88"/>
      <c r="J185" s="88"/>
      <c r="K185" s="93"/>
      <c r="U185" s="93"/>
      <c r="V185" s="93"/>
      <c r="W185" s="93"/>
    </row>
    <row r="186">
      <c r="A186" s="87" t="s">
        <v>711</v>
      </c>
      <c r="B186" s="87"/>
      <c r="C186" s="88"/>
      <c r="D186" s="88"/>
      <c r="E186" s="88"/>
      <c r="F186" s="88"/>
      <c r="G186" s="88"/>
      <c r="H186" s="88"/>
      <c r="I186" s="88"/>
      <c r="J186" s="88"/>
      <c r="K186" s="93"/>
      <c r="U186" s="93"/>
      <c r="V186" s="93"/>
      <c r="W186" s="93"/>
    </row>
    <row r="187">
      <c r="A187" s="87" t="s">
        <v>712</v>
      </c>
      <c r="B187" s="87"/>
      <c r="C187" s="391">
        <v>3000.0</v>
      </c>
      <c r="D187" s="88" t="str">
        <f>(C118*(1-'5.Closing Stock &amp; W Capital'!$D$15))*$C$187*D124</f>
        <v>  -   </v>
      </c>
      <c r="E187" s="88" t="str">
        <f>((D118*(1-'5.Closing Stock &amp; W Capital'!$D$15))+(C118*'5.Closing Stock &amp; W Capital'!$D$15))*$C$187*E124</f>
        <v>  -   </v>
      </c>
      <c r="F187" s="88" t="str">
        <f>((E118*(1-'5.Closing Stock &amp; W Capital'!$D$15))+(D118*'5.Closing Stock &amp; W Capital'!$D$15))*$C$187*F124</f>
        <v>  -   </v>
      </c>
      <c r="G187" s="88" t="str">
        <f>((F118*(1-'5.Closing Stock &amp; W Capital'!$D$15))+(E118*'5.Closing Stock &amp; W Capital'!$D$15))*$C$187*G124</f>
        <v>  -   </v>
      </c>
      <c r="H187" s="88" t="str">
        <f>((G118*(1-'5.Closing Stock &amp; W Capital'!$D$15))+(F118*'5.Closing Stock &amp; W Capital'!$D$15))*$C$187*H124</f>
        <v>  -   </v>
      </c>
      <c r="I187" s="88" t="str">
        <f>((H118*(1-'5.Closing Stock &amp; W Capital'!$D$15))+(G118*'5.Closing Stock &amp; W Capital'!$D$15))*$C$187*I124</f>
        <v>  -   </v>
      </c>
      <c r="J187" s="88" t="str">
        <f>((I118*(1-'5.Closing Stock &amp; W Capital'!$D$15))+(H118*'5.Closing Stock &amp; W Capital'!$D$15))*$C$187*J124</f>
        <v>  -   </v>
      </c>
      <c r="K187" s="93"/>
      <c r="U187" s="392"/>
      <c r="V187" s="392"/>
      <c r="W187" s="392"/>
    </row>
    <row r="188">
      <c r="A188" s="87" t="s">
        <v>713</v>
      </c>
      <c r="B188" s="87"/>
      <c r="C188" s="391">
        <v>2200.0</v>
      </c>
      <c r="D188" s="88" t="str">
        <f>(C119*(1-'5.Closing Stock &amp; W Capital'!$D$15))*$C$188*D124</f>
        <v>  -   </v>
      </c>
      <c r="E188" s="88" t="str">
        <f>((D119*(1-'5.Closing Stock &amp; W Capital'!$D$15))+(C119*'5.Closing Stock &amp; W Capital'!$D$15))*$C$188*E124</f>
        <v>  -   </v>
      </c>
      <c r="F188" s="88" t="str">
        <f>((E119*(1-'5.Closing Stock &amp; W Capital'!$D$15))+(D119*'5.Closing Stock &amp; W Capital'!$D$15))*$C$188*F124</f>
        <v>  -   </v>
      </c>
      <c r="G188" s="88" t="str">
        <f>((F119*(1-'5.Closing Stock &amp; W Capital'!$D$15))+(E119*'5.Closing Stock &amp; W Capital'!$D$15))*$C$188*G124</f>
        <v>  -   </v>
      </c>
      <c r="H188" s="88" t="str">
        <f>((G119*(1-'5.Closing Stock &amp; W Capital'!$D$15))+(F119*'5.Closing Stock &amp; W Capital'!$D$15))*$C$188*H124</f>
        <v>  -   </v>
      </c>
      <c r="I188" s="88" t="str">
        <f>((H119*(1-'5.Closing Stock &amp; W Capital'!$D$15))+(G119*'5.Closing Stock &amp; W Capital'!$D$15))*$C$188*I124</f>
        <v>  -   </v>
      </c>
      <c r="J188" s="88" t="str">
        <f>((I119*(1-'5.Closing Stock &amp; W Capital'!$D$15))+(H119*'5.Closing Stock &amp; W Capital'!$D$15))*$C$188*J124</f>
        <v>  -   </v>
      </c>
      <c r="K188" s="93"/>
      <c r="U188" s="93"/>
      <c r="V188" s="93"/>
      <c r="W188" s="93"/>
    </row>
    <row r="189">
      <c r="A189" s="87"/>
      <c r="B189" s="87"/>
      <c r="C189" s="88"/>
      <c r="D189" s="88"/>
      <c r="E189" s="88"/>
      <c r="F189" s="88"/>
      <c r="G189" s="88"/>
      <c r="H189" s="88"/>
      <c r="I189" s="88"/>
      <c r="J189" s="88"/>
      <c r="K189" s="93"/>
      <c r="U189" s="93"/>
      <c r="V189" s="93"/>
      <c r="W189" s="93"/>
    </row>
    <row r="190">
      <c r="A190" s="87"/>
      <c r="B190" s="87"/>
      <c r="C190" s="88"/>
      <c r="D190" s="88"/>
      <c r="E190" s="88"/>
      <c r="F190" s="88"/>
      <c r="G190" s="88"/>
      <c r="H190" s="88"/>
      <c r="I190" s="88"/>
      <c r="J190" s="88"/>
      <c r="K190" s="93"/>
      <c r="U190" s="93"/>
      <c r="V190" s="93"/>
      <c r="W190" s="93"/>
    </row>
    <row r="191">
      <c r="A191" s="90" t="s">
        <v>455</v>
      </c>
      <c r="B191" s="90"/>
      <c r="C191" s="91"/>
      <c r="D191" s="91" t="str">
        <f t="shared" ref="D191:J191" si="56">SUM(D130:D188)</f>
        <v>  -   </v>
      </c>
      <c r="E191" s="91" t="str">
        <f t="shared" si="56"/>
        <v>  -   </v>
      </c>
      <c r="F191" s="91" t="str">
        <f t="shared" si="56"/>
        <v>  -   </v>
      </c>
      <c r="G191" s="91" t="str">
        <f t="shared" si="56"/>
        <v>  -   </v>
      </c>
      <c r="H191" s="91" t="str">
        <f t="shared" si="56"/>
        <v>  -   </v>
      </c>
      <c r="I191" s="91" t="str">
        <f t="shared" si="56"/>
        <v>  -   </v>
      </c>
      <c r="J191" s="91" t="str">
        <f t="shared" si="56"/>
        <v>  -   </v>
      </c>
      <c r="K191" s="93"/>
      <c r="U191" s="93"/>
      <c r="V191" s="93"/>
      <c r="W191" s="93"/>
    </row>
    <row r="192">
      <c r="A192" s="87"/>
      <c r="B192" s="87"/>
      <c r="C192" s="88"/>
      <c r="D192" s="88"/>
      <c r="E192" s="88"/>
      <c r="F192" s="88"/>
      <c r="G192" s="88"/>
      <c r="H192" s="88"/>
      <c r="I192" s="88"/>
      <c r="J192" s="88"/>
      <c r="K192" s="93"/>
      <c r="U192" s="93"/>
      <c r="V192" s="93"/>
      <c r="W192" s="93"/>
    </row>
    <row r="193">
      <c r="A193" s="87"/>
      <c r="B193" s="87"/>
      <c r="C193" s="88"/>
      <c r="D193" s="88"/>
      <c r="E193" s="88"/>
      <c r="F193" s="88"/>
      <c r="G193" s="88"/>
      <c r="H193" s="88"/>
      <c r="I193" s="88"/>
      <c r="J193" s="88"/>
      <c r="K193" s="93"/>
      <c r="U193" s="93"/>
      <c r="V193" s="93"/>
      <c r="W193" s="93"/>
    </row>
    <row r="194">
      <c r="A194" s="90" t="s">
        <v>622</v>
      </c>
      <c r="B194" s="90"/>
      <c r="C194" s="88"/>
      <c r="D194" s="88"/>
      <c r="E194" s="88"/>
      <c r="F194" s="88"/>
      <c r="G194" s="88"/>
      <c r="H194" s="88"/>
      <c r="I194" s="88"/>
      <c r="J194" s="88"/>
      <c r="K194" s="93"/>
      <c r="U194" s="93"/>
      <c r="V194" s="93"/>
      <c r="W194" s="93"/>
    </row>
    <row r="195">
      <c r="A195" s="90" t="str">
        <f>A128</f>
        <v>Seeds (Rate/KG)</v>
      </c>
      <c r="B195" s="90"/>
      <c r="C195" s="88"/>
      <c r="D195" s="88"/>
      <c r="E195" s="88"/>
      <c r="F195" s="88"/>
      <c r="G195" s="88"/>
      <c r="H195" s="88"/>
      <c r="I195" s="88"/>
      <c r="J195" s="88"/>
      <c r="K195" s="93"/>
      <c r="U195" s="93"/>
      <c r="V195" s="93"/>
      <c r="W195" s="93"/>
    </row>
    <row r="196">
      <c r="A196" s="93" t="s">
        <v>198</v>
      </c>
      <c r="B196" s="93"/>
      <c r="C196" s="93"/>
      <c r="D196" s="93"/>
      <c r="E196" s="93"/>
      <c r="F196" s="93"/>
      <c r="G196" s="93"/>
      <c r="H196" s="93"/>
      <c r="I196" s="93"/>
      <c r="J196" s="93"/>
      <c r="K196" s="93"/>
      <c r="U196" s="93"/>
      <c r="V196" s="93"/>
      <c r="W196" s="93"/>
    </row>
    <row r="197">
      <c r="A197" s="87" t="str">
        <f t="shared" ref="A197:A238" si="58">A130</f>
        <v>Soybean</v>
      </c>
      <c r="B197" s="93"/>
      <c r="C197" s="391">
        <v>85.0</v>
      </c>
      <c r="D197" s="88" t="str">
        <f t="shared" ref="D197:J197" si="57">C62*$C197*D$124</f>
        <v>  -   </v>
      </c>
      <c r="E197" s="88" t="str">
        <f t="shared" si="57"/>
        <v>  -   </v>
      </c>
      <c r="F197" s="88" t="str">
        <f t="shared" si="57"/>
        <v>  -   </v>
      </c>
      <c r="G197" s="88" t="str">
        <f t="shared" si="57"/>
        <v>  -   </v>
      </c>
      <c r="H197" s="88" t="str">
        <f t="shared" si="57"/>
        <v>  -   </v>
      </c>
      <c r="I197" s="88" t="str">
        <f t="shared" si="57"/>
        <v>  -   </v>
      </c>
      <c r="J197" s="88" t="str">
        <f t="shared" si="57"/>
        <v>  -   </v>
      </c>
      <c r="K197" s="93"/>
      <c r="U197" s="93"/>
      <c r="V197" s="93"/>
      <c r="W197" s="93"/>
    </row>
    <row r="198">
      <c r="A198" s="87" t="str">
        <f t="shared" si="58"/>
        <v>Red Gram/Tur</v>
      </c>
      <c r="B198" s="87"/>
      <c r="C198" s="391">
        <v>75.0</v>
      </c>
      <c r="D198" s="88" t="str">
        <f t="shared" ref="D198:J198" si="59">C63*$C198*D$124</f>
        <v>  -   </v>
      </c>
      <c r="E198" s="88" t="str">
        <f t="shared" si="59"/>
        <v>  -   </v>
      </c>
      <c r="F198" s="88" t="str">
        <f t="shared" si="59"/>
        <v>  -   </v>
      </c>
      <c r="G198" s="88" t="str">
        <f t="shared" si="59"/>
        <v>  -   </v>
      </c>
      <c r="H198" s="88" t="str">
        <f t="shared" si="59"/>
        <v>  -   </v>
      </c>
      <c r="I198" s="88" t="str">
        <f t="shared" si="59"/>
        <v>  -   </v>
      </c>
      <c r="J198" s="88" t="str">
        <f t="shared" si="59"/>
        <v>  -   </v>
      </c>
      <c r="K198" s="93"/>
      <c r="U198" s="93"/>
      <c r="V198" s="93"/>
      <c r="W198" s="93"/>
    </row>
    <row r="199">
      <c r="A199" s="87" t="str">
        <f t="shared" si="58"/>
        <v>Paddy/Rice</v>
      </c>
      <c r="B199" s="87"/>
      <c r="C199" s="391">
        <v>57.0</v>
      </c>
      <c r="D199" s="88" t="str">
        <f t="shared" ref="D199:J199" si="60">C64*$C199*D$124</f>
        <v>  -   </v>
      </c>
      <c r="E199" s="88" t="str">
        <f t="shared" si="60"/>
        <v>  -   </v>
      </c>
      <c r="F199" s="88" t="str">
        <f t="shared" si="60"/>
        <v>  -   </v>
      </c>
      <c r="G199" s="88" t="str">
        <f t="shared" si="60"/>
        <v>  -   </v>
      </c>
      <c r="H199" s="88" t="str">
        <f t="shared" si="60"/>
        <v>  -   </v>
      </c>
      <c r="I199" s="88" t="str">
        <f t="shared" si="60"/>
        <v>  -   </v>
      </c>
      <c r="J199" s="88" t="str">
        <f t="shared" si="60"/>
        <v>  -   </v>
      </c>
      <c r="K199" s="93"/>
      <c r="U199" s="93"/>
      <c r="V199" s="93"/>
      <c r="W199" s="93"/>
    </row>
    <row r="200">
      <c r="A200" s="87" t="str">
        <f t="shared" si="58"/>
        <v>Green Gram/ Moong</v>
      </c>
      <c r="B200" s="87"/>
      <c r="C200" s="391">
        <v>80.0</v>
      </c>
      <c r="D200" s="88" t="str">
        <f t="shared" ref="D200:J200" si="61">C65*$C200*D$124</f>
        <v>  -   </v>
      </c>
      <c r="E200" s="88" t="str">
        <f t="shared" si="61"/>
        <v>  -   </v>
      </c>
      <c r="F200" s="88" t="str">
        <f t="shared" si="61"/>
        <v>  -   </v>
      </c>
      <c r="G200" s="88" t="str">
        <f t="shared" si="61"/>
        <v>  -   </v>
      </c>
      <c r="H200" s="88" t="str">
        <f t="shared" si="61"/>
        <v>  -   </v>
      </c>
      <c r="I200" s="88" t="str">
        <f t="shared" si="61"/>
        <v>  -   </v>
      </c>
      <c r="J200" s="88" t="str">
        <f t="shared" si="61"/>
        <v>  -   </v>
      </c>
      <c r="K200" s="93"/>
      <c r="L200" s="93"/>
      <c r="M200" s="93"/>
      <c r="N200" s="93"/>
      <c r="O200" s="93"/>
      <c r="P200" s="93"/>
      <c r="Q200" s="93"/>
      <c r="R200" s="93"/>
      <c r="S200" s="93"/>
      <c r="T200" s="93"/>
      <c r="U200" s="93"/>
      <c r="V200" s="93"/>
      <c r="W200" s="93"/>
    </row>
    <row r="201">
      <c r="A201" s="87" t="str">
        <f t="shared" si="58"/>
        <v>Maize</v>
      </c>
      <c r="B201" s="87"/>
      <c r="C201" s="391">
        <v>25.0</v>
      </c>
      <c r="D201" s="88" t="str">
        <f t="shared" ref="D201:J201" si="62">C66*$C201*D$124</f>
        <v>  -   </v>
      </c>
      <c r="E201" s="88" t="str">
        <f t="shared" si="62"/>
        <v>  -   </v>
      </c>
      <c r="F201" s="88" t="str">
        <f t="shared" si="62"/>
        <v>  -   </v>
      </c>
      <c r="G201" s="88" t="str">
        <f t="shared" si="62"/>
        <v>  -   </v>
      </c>
      <c r="H201" s="88" t="str">
        <f t="shared" si="62"/>
        <v>  -   </v>
      </c>
      <c r="I201" s="88" t="str">
        <f t="shared" si="62"/>
        <v>  -   </v>
      </c>
      <c r="J201" s="88" t="str">
        <f t="shared" si="62"/>
        <v>  -   </v>
      </c>
      <c r="K201" s="93"/>
      <c r="L201" s="93"/>
      <c r="M201" s="93"/>
      <c r="N201" s="93"/>
      <c r="O201" s="93"/>
      <c r="P201" s="93"/>
      <c r="Q201" s="93"/>
      <c r="R201" s="93"/>
      <c r="S201" s="93"/>
      <c r="T201" s="93"/>
      <c r="U201" s="93"/>
      <c r="V201" s="93"/>
      <c r="W201" s="93"/>
    </row>
    <row r="202">
      <c r="A202" s="87" t="str">
        <f t="shared" si="58"/>
        <v>Black Gram/Udid</v>
      </c>
      <c r="B202" s="87"/>
      <c r="C202" s="391">
        <v>70.0</v>
      </c>
      <c r="D202" s="88" t="str">
        <f t="shared" ref="D202:J202" si="63">C67*$C202*D$124</f>
        <v>  -   </v>
      </c>
      <c r="E202" s="88" t="str">
        <f t="shared" si="63"/>
        <v>  -   </v>
      </c>
      <c r="F202" s="88" t="str">
        <f t="shared" si="63"/>
        <v>  -   </v>
      </c>
      <c r="G202" s="88" t="str">
        <f t="shared" si="63"/>
        <v>  -   </v>
      </c>
      <c r="H202" s="88" t="str">
        <f t="shared" si="63"/>
        <v>  -   </v>
      </c>
      <c r="I202" s="88" t="str">
        <f t="shared" si="63"/>
        <v>  -   </v>
      </c>
      <c r="J202" s="88" t="str">
        <f t="shared" si="63"/>
        <v>  -   </v>
      </c>
      <c r="K202" s="93"/>
      <c r="L202" s="93"/>
      <c r="M202" s="93"/>
      <c r="N202" s="93"/>
      <c r="O202" s="93"/>
      <c r="P202" s="93"/>
      <c r="Q202" s="93"/>
      <c r="R202" s="93"/>
      <c r="S202" s="93"/>
      <c r="T202" s="93"/>
      <c r="U202" s="93"/>
      <c r="V202" s="93"/>
      <c r="W202" s="93"/>
    </row>
    <row r="203">
      <c r="A203" s="87" t="str">
        <f t="shared" si="58"/>
        <v>Bajra</v>
      </c>
      <c r="B203" s="87"/>
      <c r="C203" s="391">
        <v>25.0</v>
      </c>
      <c r="D203" s="88" t="str">
        <f t="shared" ref="D203:J203" si="64">C68*$C203*D$124</f>
        <v>  -   </v>
      </c>
      <c r="E203" s="88" t="str">
        <f t="shared" si="64"/>
        <v>  -   </v>
      </c>
      <c r="F203" s="88" t="str">
        <f t="shared" si="64"/>
        <v>  -   </v>
      </c>
      <c r="G203" s="88" t="str">
        <f t="shared" si="64"/>
        <v>  -   </v>
      </c>
      <c r="H203" s="88" t="str">
        <f t="shared" si="64"/>
        <v>  -   </v>
      </c>
      <c r="I203" s="88" t="str">
        <f t="shared" si="64"/>
        <v>  -   </v>
      </c>
      <c r="J203" s="88" t="str">
        <f t="shared" si="64"/>
        <v>  -   </v>
      </c>
      <c r="K203" s="93"/>
      <c r="L203" s="93"/>
      <c r="M203" s="93"/>
      <c r="N203" s="93"/>
      <c r="O203" s="93"/>
      <c r="P203" s="93"/>
      <c r="Q203" s="93"/>
      <c r="R203" s="93"/>
      <c r="S203" s="93"/>
      <c r="T203" s="93"/>
      <c r="U203" s="93"/>
      <c r="V203" s="93"/>
      <c r="W203" s="93"/>
    </row>
    <row r="204">
      <c r="A204" s="87" t="str">
        <f t="shared" si="58"/>
        <v>Jawar</v>
      </c>
      <c r="B204" s="87"/>
      <c r="C204" s="391">
        <v>25.0</v>
      </c>
      <c r="D204" s="88" t="str">
        <f t="shared" ref="D204:J204" si="65">C69*$C204*D$124</f>
        <v>  -   </v>
      </c>
      <c r="E204" s="88" t="str">
        <f t="shared" si="65"/>
        <v>  -   </v>
      </c>
      <c r="F204" s="88" t="str">
        <f t="shared" si="65"/>
        <v>  -   </v>
      </c>
      <c r="G204" s="88" t="str">
        <f t="shared" si="65"/>
        <v>  -   </v>
      </c>
      <c r="H204" s="88" t="str">
        <f t="shared" si="65"/>
        <v>  -   </v>
      </c>
      <c r="I204" s="88" t="str">
        <f t="shared" si="65"/>
        <v>  -   </v>
      </c>
      <c r="J204" s="88" t="str">
        <f t="shared" si="65"/>
        <v>  -   </v>
      </c>
      <c r="K204" s="93"/>
      <c r="L204" s="93"/>
      <c r="M204" s="93"/>
      <c r="N204" s="93"/>
      <c r="O204" s="93"/>
      <c r="P204" s="93"/>
      <c r="Q204" s="93"/>
      <c r="R204" s="93"/>
      <c r="S204" s="93"/>
      <c r="T204" s="93"/>
      <c r="U204" s="93"/>
      <c r="V204" s="93"/>
      <c r="W204" s="93"/>
    </row>
    <row r="205">
      <c r="A205" s="90" t="str">
        <f t="shared" si="58"/>
        <v>Rabi Crop</v>
      </c>
      <c r="B205" s="87"/>
      <c r="C205" s="391"/>
      <c r="D205" s="88" t="str">
        <f t="shared" ref="D205:J205" si="66">C70*$C205*D$124</f>
        <v>  -   </v>
      </c>
      <c r="E205" s="88" t="str">
        <f t="shared" si="66"/>
        <v>  -   </v>
      </c>
      <c r="F205" s="88" t="str">
        <f t="shared" si="66"/>
        <v>  -   </v>
      </c>
      <c r="G205" s="88" t="str">
        <f t="shared" si="66"/>
        <v>  -   </v>
      </c>
      <c r="H205" s="88" t="str">
        <f t="shared" si="66"/>
        <v>  -   </v>
      </c>
      <c r="I205" s="88" t="str">
        <f t="shared" si="66"/>
        <v>  -   </v>
      </c>
      <c r="J205" s="88" t="str">
        <f t="shared" si="66"/>
        <v>  -   </v>
      </c>
      <c r="K205" s="93"/>
      <c r="L205" s="93"/>
      <c r="M205" s="93"/>
      <c r="N205" s="93"/>
      <c r="O205" s="93"/>
      <c r="P205" s="93"/>
      <c r="Q205" s="93"/>
      <c r="R205" s="93"/>
      <c r="S205" s="93"/>
      <c r="T205" s="93"/>
      <c r="U205" s="93"/>
      <c r="V205" s="93"/>
      <c r="W205" s="93"/>
    </row>
    <row r="206">
      <c r="A206" s="87" t="str">
        <f t="shared" si="58"/>
        <v>Wheat</v>
      </c>
      <c r="B206" s="87"/>
      <c r="C206" s="391">
        <v>35.0</v>
      </c>
      <c r="D206" s="88" t="str">
        <f t="shared" ref="D206:J206" si="67">C71*$C206*D$124</f>
        <v>  -   </v>
      </c>
      <c r="E206" s="88" t="str">
        <f t="shared" si="67"/>
        <v>  -   </v>
      </c>
      <c r="F206" s="88" t="str">
        <f t="shared" si="67"/>
        <v>  -   </v>
      </c>
      <c r="G206" s="88" t="str">
        <f t="shared" si="67"/>
        <v>  -   </v>
      </c>
      <c r="H206" s="88" t="str">
        <f t="shared" si="67"/>
        <v>  -   </v>
      </c>
      <c r="I206" s="88" t="str">
        <f t="shared" si="67"/>
        <v>  -   </v>
      </c>
      <c r="J206" s="88" t="str">
        <f t="shared" si="67"/>
        <v>  -   </v>
      </c>
      <c r="K206" s="93"/>
      <c r="L206" s="93"/>
      <c r="M206" s="93"/>
      <c r="N206" s="93"/>
      <c r="O206" s="93"/>
      <c r="P206" s="93"/>
      <c r="Q206" s="93"/>
      <c r="R206" s="93"/>
      <c r="S206" s="93"/>
      <c r="T206" s="93"/>
      <c r="U206" s="93"/>
      <c r="V206" s="93"/>
      <c r="W206" s="93"/>
    </row>
    <row r="207">
      <c r="A207" s="87" t="str">
        <f t="shared" si="58"/>
        <v>Bengal Gram/Channa</v>
      </c>
      <c r="B207" s="87"/>
      <c r="C207" s="391">
        <v>70.0</v>
      </c>
      <c r="D207" s="88" t="str">
        <f t="shared" ref="D207:J207" si="68">C72*$C207*D$124</f>
        <v>  -   </v>
      </c>
      <c r="E207" s="88" t="str">
        <f t="shared" si="68"/>
        <v>  -   </v>
      </c>
      <c r="F207" s="88" t="str">
        <f t="shared" si="68"/>
        <v>  -   </v>
      </c>
      <c r="G207" s="88" t="str">
        <f t="shared" si="68"/>
        <v>  -   </v>
      </c>
      <c r="H207" s="88" t="str">
        <f t="shared" si="68"/>
        <v>  -   </v>
      </c>
      <c r="I207" s="88" t="str">
        <f t="shared" si="68"/>
        <v>  -   </v>
      </c>
      <c r="J207" s="88" t="str">
        <f t="shared" si="68"/>
        <v>  -   </v>
      </c>
      <c r="K207" s="93"/>
      <c r="L207" s="93"/>
      <c r="M207" s="93"/>
      <c r="N207" s="93"/>
      <c r="O207" s="93"/>
      <c r="P207" s="93"/>
      <c r="Q207" s="93"/>
      <c r="R207" s="93"/>
      <c r="S207" s="93"/>
      <c r="T207" s="93"/>
      <c r="U207" s="93"/>
      <c r="V207" s="93"/>
      <c r="W207" s="93"/>
    </row>
    <row r="208">
      <c r="A208" s="87" t="str">
        <f t="shared" si="58"/>
        <v>Jawar</v>
      </c>
      <c r="B208" s="87"/>
      <c r="C208" s="391">
        <v>25.0</v>
      </c>
      <c r="D208" s="88" t="str">
        <f t="shared" ref="D208:J208" si="69">C73*$C208*D$124</f>
        <v>  -   </v>
      </c>
      <c r="E208" s="88" t="str">
        <f t="shared" si="69"/>
        <v>  -   </v>
      </c>
      <c r="F208" s="88" t="str">
        <f t="shared" si="69"/>
        <v>  -   </v>
      </c>
      <c r="G208" s="88" t="str">
        <f t="shared" si="69"/>
        <v>  -   </v>
      </c>
      <c r="H208" s="88" t="str">
        <f t="shared" si="69"/>
        <v>  -   </v>
      </c>
      <c r="I208" s="88" t="str">
        <f t="shared" si="69"/>
        <v>  -   </v>
      </c>
      <c r="J208" s="88" t="str">
        <f t="shared" si="69"/>
        <v>  -   </v>
      </c>
      <c r="K208" s="93"/>
      <c r="L208" s="93"/>
      <c r="M208" s="93"/>
      <c r="N208" s="93"/>
      <c r="O208" s="93"/>
      <c r="P208" s="93"/>
      <c r="Q208" s="93"/>
      <c r="R208" s="93"/>
      <c r="S208" s="93"/>
      <c r="T208" s="93"/>
      <c r="U208" s="93"/>
      <c r="V208" s="93"/>
      <c r="W208" s="93"/>
    </row>
    <row r="209">
      <c r="A209" s="87" t="str">
        <f t="shared" si="58"/>
        <v>Maize</v>
      </c>
      <c r="B209" s="87"/>
      <c r="C209" s="391">
        <v>25.0</v>
      </c>
      <c r="D209" s="88" t="str">
        <f t="shared" ref="D209:J209" si="70">C74*$C209*D$124</f>
        <v>  -   </v>
      </c>
      <c r="E209" s="88" t="str">
        <f t="shared" si="70"/>
        <v>  -   </v>
      </c>
      <c r="F209" s="88" t="str">
        <f t="shared" si="70"/>
        <v>  -   </v>
      </c>
      <c r="G209" s="88" t="str">
        <f t="shared" si="70"/>
        <v>  -   </v>
      </c>
      <c r="H209" s="88" t="str">
        <f t="shared" si="70"/>
        <v>  -   </v>
      </c>
      <c r="I209" s="88" t="str">
        <f t="shared" si="70"/>
        <v>  -   </v>
      </c>
      <c r="J209" s="88" t="str">
        <f t="shared" si="70"/>
        <v>  -   </v>
      </c>
      <c r="K209" s="93"/>
      <c r="L209" s="93"/>
      <c r="M209" s="93"/>
      <c r="N209" s="93"/>
      <c r="O209" s="93"/>
      <c r="P209" s="93"/>
      <c r="Q209" s="93"/>
      <c r="R209" s="93"/>
      <c r="S209" s="93"/>
      <c r="T209" s="93"/>
      <c r="U209" s="93"/>
      <c r="V209" s="93"/>
      <c r="W209" s="93"/>
    </row>
    <row r="210">
      <c r="A210" s="87" t="str">
        <f t="shared" si="58"/>
        <v>Safflower</v>
      </c>
      <c r="B210" s="87"/>
      <c r="C210" s="391">
        <v>25.0</v>
      </c>
      <c r="D210" s="88" t="str">
        <f t="shared" ref="D210:J210" si="71">C75*$C210*D$124</f>
        <v>  -   </v>
      </c>
      <c r="E210" s="88" t="str">
        <f t="shared" si="71"/>
        <v>  -   </v>
      </c>
      <c r="F210" s="88" t="str">
        <f t="shared" si="71"/>
        <v>  -   </v>
      </c>
      <c r="G210" s="88" t="str">
        <f t="shared" si="71"/>
        <v>  -   </v>
      </c>
      <c r="H210" s="88" t="str">
        <f t="shared" si="71"/>
        <v>  -   </v>
      </c>
      <c r="I210" s="88" t="str">
        <f t="shared" si="71"/>
        <v>  -   </v>
      </c>
      <c r="J210" s="88" t="str">
        <f t="shared" si="71"/>
        <v>  -   </v>
      </c>
      <c r="K210" s="93"/>
      <c r="L210" s="93"/>
      <c r="M210" s="93"/>
      <c r="N210" s="93"/>
      <c r="O210" s="93"/>
      <c r="P210" s="93"/>
      <c r="Q210" s="93"/>
      <c r="R210" s="93"/>
      <c r="S210" s="93"/>
      <c r="T210" s="93"/>
      <c r="U210" s="93"/>
      <c r="V210" s="93"/>
      <c r="W210" s="93"/>
    </row>
    <row r="211">
      <c r="A211" s="87" t="str">
        <f t="shared" si="58"/>
        <v/>
      </c>
      <c r="B211" s="87"/>
      <c r="C211" s="391"/>
      <c r="D211" s="88" t="str">
        <f t="shared" ref="D211:J211" si="72">C76*$C211*D$124</f>
        <v>  -   </v>
      </c>
      <c r="E211" s="88" t="str">
        <f t="shared" si="72"/>
        <v>  -   </v>
      </c>
      <c r="F211" s="88" t="str">
        <f t="shared" si="72"/>
        <v>  -   </v>
      </c>
      <c r="G211" s="88" t="str">
        <f t="shared" si="72"/>
        <v>  -   </v>
      </c>
      <c r="H211" s="88" t="str">
        <f t="shared" si="72"/>
        <v>  -   </v>
      </c>
      <c r="I211" s="88" t="str">
        <f t="shared" si="72"/>
        <v>  -   </v>
      </c>
      <c r="J211" s="88" t="str">
        <f t="shared" si="72"/>
        <v>  -   </v>
      </c>
      <c r="K211" s="93"/>
      <c r="L211" s="93"/>
      <c r="M211" s="93"/>
      <c r="N211" s="93"/>
      <c r="O211" s="93"/>
      <c r="P211" s="93"/>
      <c r="Q211" s="93"/>
      <c r="R211" s="93"/>
      <c r="S211" s="93"/>
      <c r="T211" s="93"/>
      <c r="U211" s="93"/>
      <c r="V211" s="93"/>
      <c r="W211" s="93"/>
    </row>
    <row r="212">
      <c r="A212" s="87" t="str">
        <f t="shared" si="58"/>
        <v/>
      </c>
      <c r="B212" s="87"/>
      <c r="C212" s="391"/>
      <c r="D212" s="88" t="str">
        <f t="shared" ref="D212:J212" si="73">C77*$C212*D$124</f>
        <v>  -   </v>
      </c>
      <c r="E212" s="88" t="str">
        <f t="shared" si="73"/>
        <v>  -   </v>
      </c>
      <c r="F212" s="88" t="str">
        <f t="shared" si="73"/>
        <v>  -   </v>
      </c>
      <c r="G212" s="88" t="str">
        <f t="shared" si="73"/>
        <v>  -   </v>
      </c>
      <c r="H212" s="88" t="str">
        <f t="shared" si="73"/>
        <v>  -   </v>
      </c>
      <c r="I212" s="88" t="str">
        <f t="shared" si="73"/>
        <v>  -   </v>
      </c>
      <c r="J212" s="88" t="str">
        <f t="shared" si="73"/>
        <v>  -   </v>
      </c>
      <c r="K212" s="93"/>
      <c r="L212" s="93"/>
      <c r="M212" s="93"/>
      <c r="N212" s="93"/>
      <c r="O212" s="93"/>
      <c r="P212" s="93"/>
      <c r="Q212" s="93"/>
      <c r="R212" s="93"/>
      <c r="S212" s="93"/>
      <c r="T212" s="93"/>
      <c r="U212" s="93"/>
      <c r="V212" s="93"/>
      <c r="W212" s="93"/>
    </row>
    <row r="213">
      <c r="A213" s="87" t="str">
        <f t="shared" si="58"/>
        <v/>
      </c>
      <c r="B213" s="87"/>
      <c r="C213" s="391"/>
      <c r="D213" s="88" t="str">
        <f t="shared" ref="D213:J213" si="74">C78*$C213*D$124</f>
        <v>  -   </v>
      </c>
      <c r="E213" s="88" t="str">
        <f t="shared" si="74"/>
        <v>  -   </v>
      </c>
      <c r="F213" s="88" t="str">
        <f t="shared" si="74"/>
        <v>  -   </v>
      </c>
      <c r="G213" s="88" t="str">
        <f t="shared" si="74"/>
        <v>  -   </v>
      </c>
      <c r="H213" s="88" t="str">
        <f t="shared" si="74"/>
        <v>  -   </v>
      </c>
      <c r="I213" s="88" t="str">
        <f t="shared" si="74"/>
        <v>  -   </v>
      </c>
      <c r="J213" s="88" t="str">
        <f t="shared" si="74"/>
        <v>  -   </v>
      </c>
      <c r="K213" s="93"/>
      <c r="L213" s="93"/>
      <c r="M213" s="93"/>
      <c r="N213" s="93"/>
      <c r="O213" s="93"/>
      <c r="P213" s="93"/>
      <c r="Q213" s="93"/>
      <c r="R213" s="93"/>
      <c r="S213" s="93"/>
      <c r="T213" s="93"/>
      <c r="U213" s="93"/>
      <c r="V213" s="93"/>
      <c r="W213" s="93"/>
    </row>
    <row r="214">
      <c r="A214" s="87" t="str">
        <f t="shared" si="58"/>
        <v>Summer</v>
      </c>
      <c r="B214" s="87"/>
      <c r="C214" s="391"/>
      <c r="D214" s="88" t="str">
        <f t="shared" ref="D214:J214" si="75">C79*$C214*D$124</f>
        <v>  -   </v>
      </c>
      <c r="E214" s="88" t="str">
        <f t="shared" si="75"/>
        <v>  -   </v>
      </c>
      <c r="F214" s="88" t="str">
        <f t="shared" si="75"/>
        <v>  -   </v>
      </c>
      <c r="G214" s="88" t="str">
        <f t="shared" si="75"/>
        <v>  -   </v>
      </c>
      <c r="H214" s="88" t="str">
        <f t="shared" si="75"/>
        <v>  -   </v>
      </c>
      <c r="I214" s="88" t="str">
        <f t="shared" si="75"/>
        <v>  -   </v>
      </c>
      <c r="J214" s="88" t="str">
        <f t="shared" si="75"/>
        <v>  -   </v>
      </c>
      <c r="K214" s="93"/>
      <c r="L214" s="93"/>
      <c r="M214" s="93"/>
      <c r="N214" s="93"/>
      <c r="O214" s="93"/>
      <c r="P214" s="93"/>
      <c r="Q214" s="93"/>
      <c r="R214" s="93"/>
      <c r="S214" s="93"/>
      <c r="T214" s="93"/>
      <c r="U214" s="93"/>
      <c r="V214" s="93"/>
      <c r="W214" s="93"/>
    </row>
    <row r="215">
      <c r="A215" s="87" t="str">
        <f t="shared" si="58"/>
        <v>Groundnut</v>
      </c>
      <c r="B215" s="87"/>
      <c r="C215" s="391"/>
      <c r="D215" s="88" t="str">
        <f t="shared" ref="D215:J215" si="76">C80*$C215*D$124</f>
        <v>  -   </v>
      </c>
      <c r="E215" s="88" t="str">
        <f t="shared" si="76"/>
        <v>  -   </v>
      </c>
      <c r="F215" s="88" t="str">
        <f t="shared" si="76"/>
        <v>  -   </v>
      </c>
      <c r="G215" s="88" t="str">
        <f t="shared" si="76"/>
        <v>  -   </v>
      </c>
      <c r="H215" s="88" t="str">
        <f t="shared" si="76"/>
        <v>  -   </v>
      </c>
      <c r="I215" s="88" t="str">
        <f t="shared" si="76"/>
        <v>  -   </v>
      </c>
      <c r="J215" s="88" t="str">
        <f t="shared" si="76"/>
        <v>  -   </v>
      </c>
      <c r="K215" s="93"/>
      <c r="L215" s="93"/>
      <c r="M215" s="93"/>
      <c r="N215" s="93"/>
      <c r="O215" s="93"/>
      <c r="P215" s="93"/>
      <c r="Q215" s="93"/>
      <c r="R215" s="93"/>
      <c r="S215" s="93"/>
      <c r="T215" s="93"/>
      <c r="U215" s="93"/>
      <c r="V215" s="93"/>
      <c r="W215" s="93"/>
    </row>
    <row r="216">
      <c r="A216" s="87" t="str">
        <f t="shared" si="58"/>
        <v/>
      </c>
      <c r="B216" s="87"/>
      <c r="C216" s="391"/>
      <c r="D216" s="88" t="str">
        <f t="shared" ref="D216:J216" si="77">C81*$C216*D$124</f>
        <v>  -   </v>
      </c>
      <c r="E216" s="88" t="str">
        <f t="shared" si="77"/>
        <v>  -   </v>
      </c>
      <c r="F216" s="88" t="str">
        <f t="shared" si="77"/>
        <v>  -   </v>
      </c>
      <c r="G216" s="88" t="str">
        <f t="shared" si="77"/>
        <v>  -   </v>
      </c>
      <c r="H216" s="88" t="str">
        <f t="shared" si="77"/>
        <v>  -   </v>
      </c>
      <c r="I216" s="88" t="str">
        <f t="shared" si="77"/>
        <v>  -   </v>
      </c>
      <c r="J216" s="88" t="str">
        <f t="shared" si="77"/>
        <v>  -   </v>
      </c>
      <c r="K216" s="93"/>
      <c r="L216" s="93"/>
      <c r="M216" s="93"/>
      <c r="N216" s="93"/>
      <c r="O216" s="93"/>
      <c r="P216" s="93"/>
      <c r="Q216" s="93"/>
      <c r="R216" s="93"/>
      <c r="S216" s="93"/>
      <c r="T216" s="93"/>
      <c r="U216" s="93"/>
      <c r="V216" s="93"/>
      <c r="W216" s="93"/>
    </row>
    <row r="217">
      <c r="A217" s="87" t="str">
        <f t="shared" si="58"/>
        <v/>
      </c>
      <c r="B217" s="87"/>
      <c r="C217" s="391"/>
      <c r="D217" s="88" t="str">
        <f t="shared" ref="D217:J217" si="78">C82*$C217*D$124</f>
        <v>  -   </v>
      </c>
      <c r="E217" s="88" t="str">
        <f t="shared" si="78"/>
        <v>  -   </v>
      </c>
      <c r="F217" s="88" t="str">
        <f t="shared" si="78"/>
        <v>  -   </v>
      </c>
      <c r="G217" s="88" t="str">
        <f t="shared" si="78"/>
        <v>  -   </v>
      </c>
      <c r="H217" s="88" t="str">
        <f t="shared" si="78"/>
        <v>  -   </v>
      </c>
      <c r="I217" s="88" t="str">
        <f t="shared" si="78"/>
        <v>  -   </v>
      </c>
      <c r="J217" s="88" t="str">
        <f t="shared" si="78"/>
        <v>  -   </v>
      </c>
      <c r="K217" s="93"/>
      <c r="L217" s="93"/>
      <c r="M217" s="93"/>
      <c r="N217" s="93"/>
      <c r="O217" s="93"/>
      <c r="P217" s="93"/>
      <c r="Q217" s="93"/>
      <c r="R217" s="93"/>
      <c r="S217" s="93"/>
      <c r="T217" s="93"/>
      <c r="U217" s="93"/>
      <c r="V217" s="93"/>
      <c r="W217" s="93"/>
    </row>
    <row r="218">
      <c r="A218" s="87" t="str">
        <f t="shared" si="58"/>
        <v/>
      </c>
      <c r="B218" s="87"/>
      <c r="C218" s="391"/>
      <c r="D218" s="88" t="str">
        <f t="shared" ref="D218:J218" si="79">C83*$C218*D$124</f>
        <v>  -   </v>
      </c>
      <c r="E218" s="88" t="str">
        <f t="shared" si="79"/>
        <v>  -   </v>
      </c>
      <c r="F218" s="88" t="str">
        <f t="shared" si="79"/>
        <v>  -   </v>
      </c>
      <c r="G218" s="88" t="str">
        <f t="shared" si="79"/>
        <v>  -   </v>
      </c>
      <c r="H218" s="88" t="str">
        <f t="shared" si="79"/>
        <v>  -   </v>
      </c>
      <c r="I218" s="88" t="str">
        <f t="shared" si="79"/>
        <v>  -   </v>
      </c>
      <c r="J218" s="88" t="str">
        <f t="shared" si="79"/>
        <v>  -   </v>
      </c>
      <c r="K218" s="93"/>
      <c r="L218" s="93"/>
      <c r="M218" s="93"/>
      <c r="N218" s="93"/>
      <c r="O218" s="93"/>
      <c r="P218" s="93"/>
      <c r="Q218" s="93"/>
      <c r="R218" s="93"/>
      <c r="S218" s="93"/>
      <c r="T218" s="93"/>
      <c r="U218" s="93"/>
      <c r="V218" s="93"/>
      <c r="W218" s="93"/>
    </row>
    <row r="219">
      <c r="A219" s="87" t="str">
        <f t="shared" si="58"/>
        <v/>
      </c>
      <c r="B219" s="87"/>
      <c r="C219" s="391"/>
      <c r="D219" s="88" t="str">
        <f t="shared" ref="D219:J219" si="80">C84*$C219*D$124</f>
        <v>  -   </v>
      </c>
      <c r="E219" s="88" t="str">
        <f t="shared" si="80"/>
        <v>  -   </v>
      </c>
      <c r="F219" s="88" t="str">
        <f t="shared" si="80"/>
        <v>  -   </v>
      </c>
      <c r="G219" s="88" t="str">
        <f t="shared" si="80"/>
        <v>  -   </v>
      </c>
      <c r="H219" s="88" t="str">
        <f t="shared" si="80"/>
        <v>  -   </v>
      </c>
      <c r="I219" s="88" t="str">
        <f t="shared" si="80"/>
        <v>  -   </v>
      </c>
      <c r="J219" s="88" t="str">
        <f t="shared" si="80"/>
        <v>  -   </v>
      </c>
      <c r="K219" s="93"/>
      <c r="L219" s="93"/>
      <c r="M219" s="93"/>
      <c r="N219" s="93"/>
      <c r="O219" s="93"/>
      <c r="P219" s="93"/>
      <c r="Q219" s="93"/>
      <c r="R219" s="93"/>
      <c r="S219" s="93"/>
      <c r="T219" s="93"/>
      <c r="U219" s="93"/>
      <c r="V219" s="93"/>
      <c r="W219" s="93"/>
    </row>
    <row r="220">
      <c r="A220" s="87" t="str">
        <f t="shared" si="58"/>
        <v>Fruit  &amp; Vegetables Crop Production Details</v>
      </c>
      <c r="B220" s="87"/>
      <c r="C220" s="88"/>
      <c r="D220" s="88"/>
      <c r="E220" s="88"/>
      <c r="F220" s="88"/>
      <c r="G220" s="88"/>
      <c r="H220" s="88"/>
      <c r="I220" s="88"/>
      <c r="J220" s="88"/>
      <c r="K220" s="93"/>
      <c r="L220" s="93"/>
      <c r="M220" s="93"/>
      <c r="N220" s="93"/>
      <c r="O220" s="93"/>
      <c r="P220" s="93"/>
      <c r="Q220" s="93"/>
      <c r="R220" s="93"/>
      <c r="S220" s="93"/>
      <c r="T220" s="93"/>
      <c r="U220" s="93"/>
      <c r="V220" s="93"/>
      <c r="W220" s="93"/>
    </row>
    <row r="221">
      <c r="A221" s="87" t="str">
        <f t="shared" si="58"/>
        <v>Onion</v>
      </c>
      <c r="B221" s="87"/>
      <c r="C221" s="391"/>
      <c r="D221" s="88" t="str">
        <f t="shared" ref="D221:J221" si="81">C86*$C221*D$124</f>
        <v>  -   </v>
      </c>
      <c r="E221" s="88" t="str">
        <f t="shared" si="81"/>
        <v>  -   </v>
      </c>
      <c r="F221" s="88" t="str">
        <f t="shared" si="81"/>
        <v>  -   </v>
      </c>
      <c r="G221" s="88" t="str">
        <f t="shared" si="81"/>
        <v>  -   </v>
      </c>
      <c r="H221" s="88" t="str">
        <f t="shared" si="81"/>
        <v>  -   </v>
      </c>
      <c r="I221" s="88" t="str">
        <f t="shared" si="81"/>
        <v>  -   </v>
      </c>
      <c r="J221" s="88" t="str">
        <f t="shared" si="81"/>
        <v>  -   </v>
      </c>
      <c r="K221" s="93"/>
      <c r="L221" s="93"/>
      <c r="M221" s="93"/>
      <c r="N221" s="93"/>
      <c r="O221" s="93"/>
      <c r="P221" s="93"/>
      <c r="Q221" s="93"/>
      <c r="R221" s="93"/>
      <c r="S221" s="93"/>
      <c r="T221" s="93"/>
      <c r="U221" s="93"/>
      <c r="V221" s="93"/>
      <c r="W221" s="93"/>
    </row>
    <row r="222">
      <c r="A222" s="87" t="str">
        <f t="shared" si="58"/>
        <v>Tomato</v>
      </c>
      <c r="B222" s="87"/>
      <c r="C222" s="391"/>
      <c r="D222" s="88" t="str">
        <f t="shared" ref="D222:J222" si="82">C87*$C222*D$124</f>
        <v>  -   </v>
      </c>
      <c r="E222" s="88" t="str">
        <f t="shared" si="82"/>
        <v>  -   </v>
      </c>
      <c r="F222" s="88" t="str">
        <f t="shared" si="82"/>
        <v>  -   </v>
      </c>
      <c r="G222" s="88" t="str">
        <f t="shared" si="82"/>
        <v>  -   </v>
      </c>
      <c r="H222" s="88" t="str">
        <f t="shared" si="82"/>
        <v>  -   </v>
      </c>
      <c r="I222" s="88" t="str">
        <f t="shared" si="82"/>
        <v>  -   </v>
      </c>
      <c r="J222" s="88" t="str">
        <f t="shared" si="82"/>
        <v>  -   </v>
      </c>
      <c r="K222" s="93"/>
      <c r="L222" s="93"/>
      <c r="M222" s="93"/>
      <c r="N222" s="93"/>
      <c r="O222" s="93"/>
      <c r="P222" s="93"/>
      <c r="Q222" s="93"/>
      <c r="R222" s="93"/>
      <c r="S222" s="93"/>
      <c r="T222" s="93"/>
      <c r="U222" s="93"/>
      <c r="V222" s="93"/>
      <c r="W222" s="93"/>
    </row>
    <row r="223">
      <c r="A223" s="87" t="str">
        <f t="shared" si="58"/>
        <v>Okra</v>
      </c>
      <c r="B223" s="87"/>
      <c r="C223" s="391"/>
      <c r="D223" s="88" t="str">
        <f t="shared" ref="D223:J223" si="83">C88*$C223*D$124</f>
        <v>  -   </v>
      </c>
      <c r="E223" s="88" t="str">
        <f t="shared" si="83"/>
        <v>  -   </v>
      </c>
      <c r="F223" s="88" t="str">
        <f t="shared" si="83"/>
        <v>  -   </v>
      </c>
      <c r="G223" s="88" t="str">
        <f t="shared" si="83"/>
        <v>  -   </v>
      </c>
      <c r="H223" s="88" t="str">
        <f t="shared" si="83"/>
        <v>  -   </v>
      </c>
      <c r="I223" s="88" t="str">
        <f t="shared" si="83"/>
        <v>  -   </v>
      </c>
      <c r="J223" s="88" t="str">
        <f t="shared" si="83"/>
        <v>  -   </v>
      </c>
      <c r="K223" s="93"/>
      <c r="L223" s="93"/>
      <c r="M223" s="93"/>
      <c r="N223" s="93"/>
      <c r="O223" s="93"/>
      <c r="P223" s="93"/>
      <c r="Q223" s="93"/>
      <c r="R223" s="93"/>
      <c r="S223" s="93"/>
      <c r="T223" s="93"/>
      <c r="U223" s="93"/>
      <c r="V223" s="93"/>
      <c r="W223" s="93"/>
    </row>
    <row r="224">
      <c r="A224" s="87" t="str">
        <f t="shared" si="58"/>
        <v>Chilli</v>
      </c>
      <c r="B224" s="87"/>
      <c r="C224" s="391"/>
      <c r="D224" s="88" t="str">
        <f t="shared" ref="D224:J224" si="84">C89*$C224*D$124</f>
        <v>  -   </v>
      </c>
      <c r="E224" s="88" t="str">
        <f t="shared" si="84"/>
        <v>  -   </v>
      </c>
      <c r="F224" s="88" t="str">
        <f t="shared" si="84"/>
        <v>  -   </v>
      </c>
      <c r="G224" s="88" t="str">
        <f t="shared" si="84"/>
        <v>  -   </v>
      </c>
      <c r="H224" s="88" t="str">
        <f t="shared" si="84"/>
        <v>  -   </v>
      </c>
      <c r="I224" s="88" t="str">
        <f t="shared" si="84"/>
        <v>  -   </v>
      </c>
      <c r="J224" s="88" t="str">
        <f t="shared" si="84"/>
        <v>  -   </v>
      </c>
      <c r="K224" s="93"/>
      <c r="L224" s="93"/>
      <c r="M224" s="93"/>
      <c r="N224" s="93"/>
      <c r="O224" s="93"/>
      <c r="P224" s="93"/>
      <c r="Q224" s="93"/>
      <c r="R224" s="93"/>
      <c r="S224" s="93"/>
      <c r="T224" s="93"/>
      <c r="U224" s="93"/>
      <c r="V224" s="93"/>
      <c r="W224" s="93"/>
    </row>
    <row r="225">
      <c r="A225" s="87" t="str">
        <f t="shared" si="58"/>
        <v>Potato</v>
      </c>
      <c r="B225" s="87"/>
      <c r="C225" s="391"/>
      <c r="D225" s="88" t="str">
        <f t="shared" ref="D225:J225" si="85">C90*$C225*D$124</f>
        <v>  -   </v>
      </c>
      <c r="E225" s="88" t="str">
        <f t="shared" si="85"/>
        <v>  -   </v>
      </c>
      <c r="F225" s="88" t="str">
        <f t="shared" si="85"/>
        <v>  -   </v>
      </c>
      <c r="G225" s="88" t="str">
        <f t="shared" si="85"/>
        <v>  -   </v>
      </c>
      <c r="H225" s="88" t="str">
        <f t="shared" si="85"/>
        <v>  -   </v>
      </c>
      <c r="I225" s="88" t="str">
        <f t="shared" si="85"/>
        <v>  -   </v>
      </c>
      <c r="J225" s="88" t="str">
        <f t="shared" si="85"/>
        <v>  -   </v>
      </c>
      <c r="K225" s="93"/>
      <c r="L225" s="93"/>
      <c r="M225" s="93"/>
      <c r="N225" s="93"/>
      <c r="O225" s="93"/>
      <c r="P225" s="93"/>
      <c r="Q225" s="93"/>
      <c r="R225" s="93"/>
      <c r="S225" s="93"/>
      <c r="T225" s="93"/>
      <c r="U225" s="93"/>
      <c r="V225" s="93"/>
      <c r="W225" s="93"/>
    </row>
    <row r="226">
      <c r="A226" s="87" t="str">
        <f t="shared" si="58"/>
        <v/>
      </c>
      <c r="B226" s="87"/>
      <c r="C226" s="391"/>
      <c r="D226" s="88" t="str">
        <f t="shared" ref="D226:J226" si="86">C91*$C226*D$124</f>
        <v>  -   </v>
      </c>
      <c r="E226" s="88" t="str">
        <f t="shared" si="86"/>
        <v>  -   </v>
      </c>
      <c r="F226" s="88" t="str">
        <f t="shared" si="86"/>
        <v>  -   </v>
      </c>
      <c r="G226" s="88" t="str">
        <f t="shared" si="86"/>
        <v>  -   </v>
      </c>
      <c r="H226" s="88" t="str">
        <f t="shared" si="86"/>
        <v>  -   </v>
      </c>
      <c r="I226" s="88" t="str">
        <f t="shared" si="86"/>
        <v>  -   </v>
      </c>
      <c r="J226" s="88" t="str">
        <f t="shared" si="86"/>
        <v>  -   </v>
      </c>
      <c r="K226" s="93"/>
      <c r="L226" s="93"/>
      <c r="M226" s="93"/>
      <c r="N226" s="93"/>
      <c r="O226" s="93"/>
      <c r="P226" s="93"/>
      <c r="Q226" s="93"/>
      <c r="R226" s="93"/>
      <c r="S226" s="93"/>
      <c r="T226" s="93"/>
      <c r="U226" s="93"/>
      <c r="V226" s="93"/>
      <c r="W226" s="93"/>
    </row>
    <row r="227">
      <c r="A227" s="87" t="str">
        <f t="shared" si="58"/>
        <v/>
      </c>
      <c r="B227" s="87"/>
      <c r="C227" s="391"/>
      <c r="D227" s="88" t="str">
        <f t="shared" ref="D227:J227" si="87">C92*$C227*D$124</f>
        <v>  -   </v>
      </c>
      <c r="E227" s="88" t="str">
        <f t="shared" si="87"/>
        <v>  -   </v>
      </c>
      <c r="F227" s="88" t="str">
        <f t="shared" si="87"/>
        <v>  -   </v>
      </c>
      <c r="G227" s="88" t="str">
        <f t="shared" si="87"/>
        <v>  -   </v>
      </c>
      <c r="H227" s="88" t="str">
        <f t="shared" si="87"/>
        <v>  -   </v>
      </c>
      <c r="I227" s="88" t="str">
        <f t="shared" si="87"/>
        <v>  -   </v>
      </c>
      <c r="J227" s="88" t="str">
        <f t="shared" si="87"/>
        <v>  -   </v>
      </c>
      <c r="K227" s="93"/>
      <c r="L227" s="93"/>
      <c r="M227" s="93"/>
      <c r="N227" s="93"/>
      <c r="O227" s="93"/>
      <c r="P227" s="93"/>
      <c r="Q227" s="93"/>
      <c r="R227" s="93"/>
      <c r="S227" s="93"/>
      <c r="T227" s="93"/>
      <c r="U227" s="93"/>
      <c r="V227" s="93"/>
      <c r="W227" s="93"/>
    </row>
    <row r="228">
      <c r="A228" s="87" t="str">
        <f t="shared" si="58"/>
        <v/>
      </c>
      <c r="B228" s="87"/>
      <c r="C228" s="391"/>
      <c r="D228" s="88" t="str">
        <f t="shared" ref="D228:J228" si="88">C93*$C228*D$124</f>
        <v>  -   </v>
      </c>
      <c r="E228" s="88" t="str">
        <f t="shared" si="88"/>
        <v>  -   </v>
      </c>
      <c r="F228" s="88" t="str">
        <f t="shared" si="88"/>
        <v>  -   </v>
      </c>
      <c r="G228" s="88" t="str">
        <f t="shared" si="88"/>
        <v>  -   </v>
      </c>
      <c r="H228" s="88" t="str">
        <f t="shared" si="88"/>
        <v>  -   </v>
      </c>
      <c r="I228" s="88" t="str">
        <f t="shared" si="88"/>
        <v>  -   </v>
      </c>
      <c r="J228" s="88" t="str">
        <f t="shared" si="88"/>
        <v>  -   </v>
      </c>
      <c r="K228" s="93"/>
      <c r="L228" s="93"/>
      <c r="M228" s="93"/>
      <c r="N228" s="93"/>
      <c r="O228" s="93"/>
      <c r="P228" s="93"/>
      <c r="Q228" s="93"/>
      <c r="R228" s="93"/>
      <c r="S228" s="93"/>
      <c r="T228" s="93"/>
      <c r="U228" s="93"/>
      <c r="V228" s="93"/>
      <c r="W228" s="93"/>
    </row>
    <row r="229">
      <c r="A229" s="87" t="str">
        <f t="shared" si="58"/>
        <v/>
      </c>
      <c r="B229" s="87"/>
      <c r="C229" s="391"/>
      <c r="D229" s="88" t="str">
        <f t="shared" ref="D229:J229" si="89">C94*$C229*D$124</f>
        <v>  -   </v>
      </c>
      <c r="E229" s="88" t="str">
        <f t="shared" si="89"/>
        <v>  -   </v>
      </c>
      <c r="F229" s="88" t="str">
        <f t="shared" si="89"/>
        <v>  -   </v>
      </c>
      <c r="G229" s="88" t="str">
        <f t="shared" si="89"/>
        <v>  -   </v>
      </c>
      <c r="H229" s="88" t="str">
        <f t="shared" si="89"/>
        <v>  -   </v>
      </c>
      <c r="I229" s="88" t="str">
        <f t="shared" si="89"/>
        <v>  -   </v>
      </c>
      <c r="J229" s="88" t="str">
        <f t="shared" si="89"/>
        <v>  -   </v>
      </c>
      <c r="K229" s="93"/>
      <c r="L229" s="93"/>
      <c r="M229" s="93"/>
      <c r="N229" s="93"/>
      <c r="O229" s="93"/>
      <c r="P229" s="93"/>
      <c r="Q229" s="93"/>
      <c r="R229" s="93"/>
      <c r="S229" s="93"/>
      <c r="T229" s="93"/>
      <c r="U229" s="93"/>
      <c r="V229" s="93"/>
      <c r="W229" s="93"/>
    </row>
    <row r="230">
      <c r="A230" s="87" t="str">
        <f t="shared" si="58"/>
        <v>Onion</v>
      </c>
      <c r="B230" s="87"/>
      <c r="C230" s="391"/>
      <c r="D230" s="88" t="str">
        <f t="shared" ref="D230:J230" si="90">C95*$C230*D$124</f>
        <v>  -   </v>
      </c>
      <c r="E230" s="88" t="str">
        <f t="shared" si="90"/>
        <v>  -   </v>
      </c>
      <c r="F230" s="88" t="str">
        <f t="shared" si="90"/>
        <v>  -   </v>
      </c>
      <c r="G230" s="88" t="str">
        <f t="shared" si="90"/>
        <v>  -   </v>
      </c>
      <c r="H230" s="88" t="str">
        <f t="shared" si="90"/>
        <v>  -   </v>
      </c>
      <c r="I230" s="88" t="str">
        <f t="shared" si="90"/>
        <v>  -   </v>
      </c>
      <c r="J230" s="88" t="str">
        <f t="shared" si="90"/>
        <v>  -   </v>
      </c>
      <c r="K230" s="93"/>
      <c r="L230" s="93"/>
      <c r="M230" s="93"/>
      <c r="N230" s="93"/>
      <c r="O230" s="93"/>
      <c r="P230" s="93"/>
      <c r="Q230" s="93"/>
      <c r="R230" s="93"/>
      <c r="S230" s="93"/>
      <c r="T230" s="93"/>
      <c r="U230" s="93"/>
      <c r="V230" s="93"/>
      <c r="W230" s="93"/>
    </row>
    <row r="231">
      <c r="A231" s="87" t="str">
        <f t="shared" si="58"/>
        <v>Tomato</v>
      </c>
      <c r="B231" s="87"/>
      <c r="C231" s="391"/>
      <c r="D231" s="88" t="str">
        <f t="shared" ref="D231:J231" si="91">C96*$C231*D$124</f>
        <v>  -   </v>
      </c>
      <c r="E231" s="88" t="str">
        <f t="shared" si="91"/>
        <v>  -   </v>
      </c>
      <c r="F231" s="88" t="str">
        <f t="shared" si="91"/>
        <v>  -   </v>
      </c>
      <c r="G231" s="88" t="str">
        <f t="shared" si="91"/>
        <v>  -   </v>
      </c>
      <c r="H231" s="88" t="str">
        <f t="shared" si="91"/>
        <v>  -   </v>
      </c>
      <c r="I231" s="88" t="str">
        <f t="shared" si="91"/>
        <v>  -   </v>
      </c>
      <c r="J231" s="88" t="str">
        <f t="shared" si="91"/>
        <v>  -   </v>
      </c>
      <c r="K231" s="93"/>
      <c r="L231" s="93"/>
      <c r="M231" s="93"/>
      <c r="N231" s="93"/>
      <c r="O231" s="93"/>
      <c r="P231" s="93"/>
      <c r="Q231" s="93"/>
      <c r="R231" s="93"/>
      <c r="S231" s="93"/>
      <c r="T231" s="93"/>
      <c r="U231" s="93"/>
      <c r="V231" s="93"/>
      <c r="W231" s="93"/>
    </row>
    <row r="232">
      <c r="A232" s="87" t="str">
        <f t="shared" si="58"/>
        <v>Okra</v>
      </c>
      <c r="B232" s="87"/>
      <c r="C232" s="391"/>
      <c r="D232" s="88" t="str">
        <f t="shared" ref="D232:J232" si="92">C97*$C232*D$124</f>
        <v>  -   </v>
      </c>
      <c r="E232" s="88" t="str">
        <f t="shared" si="92"/>
        <v>  -   </v>
      </c>
      <c r="F232" s="88" t="str">
        <f t="shared" si="92"/>
        <v>  -   </v>
      </c>
      <c r="G232" s="88" t="str">
        <f t="shared" si="92"/>
        <v>  -   </v>
      </c>
      <c r="H232" s="88" t="str">
        <f t="shared" si="92"/>
        <v>  -   </v>
      </c>
      <c r="I232" s="88" t="str">
        <f t="shared" si="92"/>
        <v>  -   </v>
      </c>
      <c r="J232" s="88" t="str">
        <f t="shared" si="92"/>
        <v>  -   </v>
      </c>
      <c r="K232" s="93"/>
      <c r="L232" s="93"/>
      <c r="M232" s="93"/>
      <c r="N232" s="93"/>
      <c r="O232" s="93"/>
      <c r="P232" s="93"/>
      <c r="Q232" s="93"/>
      <c r="R232" s="93"/>
      <c r="S232" s="93"/>
      <c r="T232" s="93"/>
      <c r="U232" s="93"/>
      <c r="V232" s="93"/>
      <c r="W232" s="93"/>
    </row>
    <row r="233">
      <c r="A233" s="87" t="str">
        <f t="shared" si="58"/>
        <v>Chilli</v>
      </c>
      <c r="B233" s="87"/>
      <c r="C233" s="391"/>
      <c r="D233" s="88" t="str">
        <f t="shared" ref="D233:J233" si="93">C98*$C233*D$124</f>
        <v>  -   </v>
      </c>
      <c r="E233" s="88" t="str">
        <f t="shared" si="93"/>
        <v>  -   </v>
      </c>
      <c r="F233" s="88" t="str">
        <f t="shared" si="93"/>
        <v>  -   </v>
      </c>
      <c r="G233" s="88" t="str">
        <f t="shared" si="93"/>
        <v>  -   </v>
      </c>
      <c r="H233" s="88" t="str">
        <f t="shared" si="93"/>
        <v>  -   </v>
      </c>
      <c r="I233" s="88" t="str">
        <f t="shared" si="93"/>
        <v>  -   </v>
      </c>
      <c r="J233" s="88" t="str">
        <f t="shared" si="93"/>
        <v>  -   </v>
      </c>
      <c r="K233" s="93"/>
      <c r="L233" s="93"/>
      <c r="M233" s="93"/>
      <c r="N233" s="93"/>
      <c r="O233" s="93"/>
      <c r="P233" s="93"/>
      <c r="Q233" s="93"/>
      <c r="R233" s="93"/>
      <c r="S233" s="93"/>
      <c r="T233" s="93"/>
      <c r="U233" s="93"/>
      <c r="V233" s="93"/>
      <c r="W233" s="93"/>
    </row>
    <row r="234">
      <c r="A234" s="87" t="str">
        <f t="shared" si="58"/>
        <v>Brinjal</v>
      </c>
      <c r="B234" s="87"/>
      <c r="C234" s="391"/>
      <c r="D234" s="88" t="str">
        <f t="shared" ref="D234:J234" si="94">C99*$C234*D$124</f>
        <v>  -   </v>
      </c>
      <c r="E234" s="88" t="str">
        <f t="shared" si="94"/>
        <v>  -   </v>
      </c>
      <c r="F234" s="88" t="str">
        <f t="shared" si="94"/>
        <v>  -   </v>
      </c>
      <c r="G234" s="88" t="str">
        <f t="shared" si="94"/>
        <v>  -   </v>
      </c>
      <c r="H234" s="88" t="str">
        <f t="shared" si="94"/>
        <v>  -   </v>
      </c>
      <c r="I234" s="88" t="str">
        <f t="shared" si="94"/>
        <v>  -   </v>
      </c>
      <c r="J234" s="88" t="str">
        <f t="shared" si="94"/>
        <v>  -   </v>
      </c>
      <c r="K234" s="93"/>
      <c r="L234" s="93"/>
      <c r="M234" s="93"/>
      <c r="N234" s="93"/>
      <c r="O234" s="93"/>
      <c r="P234" s="93"/>
      <c r="Q234" s="93"/>
      <c r="R234" s="93"/>
      <c r="S234" s="93"/>
      <c r="T234" s="93"/>
      <c r="U234" s="93"/>
      <c r="V234" s="93"/>
      <c r="W234" s="93"/>
    </row>
    <row r="235">
      <c r="A235" s="87" t="str">
        <f t="shared" si="58"/>
        <v/>
      </c>
      <c r="B235" s="87"/>
      <c r="C235" s="391"/>
      <c r="D235" s="88" t="str">
        <f t="shared" ref="D235:J235" si="95">C100*$C235*D$124</f>
        <v>  -   </v>
      </c>
      <c r="E235" s="88" t="str">
        <f t="shared" si="95"/>
        <v>  -   </v>
      </c>
      <c r="F235" s="88" t="str">
        <f t="shared" si="95"/>
        <v>  -   </v>
      </c>
      <c r="G235" s="88" t="str">
        <f t="shared" si="95"/>
        <v>  -   </v>
      </c>
      <c r="H235" s="88" t="str">
        <f t="shared" si="95"/>
        <v>  -   </v>
      </c>
      <c r="I235" s="88" t="str">
        <f t="shared" si="95"/>
        <v>  -   </v>
      </c>
      <c r="J235" s="88" t="str">
        <f t="shared" si="95"/>
        <v>  -   </v>
      </c>
      <c r="K235" s="93"/>
      <c r="L235" s="93"/>
      <c r="M235" s="93"/>
      <c r="N235" s="93"/>
      <c r="O235" s="93"/>
      <c r="P235" s="93"/>
      <c r="Q235" s="93"/>
      <c r="R235" s="93"/>
      <c r="S235" s="93"/>
      <c r="T235" s="93"/>
      <c r="U235" s="93"/>
      <c r="V235" s="93"/>
      <c r="W235" s="93"/>
    </row>
    <row r="236">
      <c r="A236" s="87" t="str">
        <f t="shared" si="58"/>
        <v/>
      </c>
      <c r="B236" s="87"/>
      <c r="C236" s="391"/>
      <c r="D236" s="88" t="str">
        <f t="shared" ref="D236:J236" si="96">C101*$C236*D$124</f>
        <v>  -   </v>
      </c>
      <c r="E236" s="88" t="str">
        <f t="shared" si="96"/>
        <v>  -   </v>
      </c>
      <c r="F236" s="88" t="str">
        <f t="shared" si="96"/>
        <v>  -   </v>
      </c>
      <c r="G236" s="88" t="str">
        <f t="shared" si="96"/>
        <v>  -   </v>
      </c>
      <c r="H236" s="88" t="str">
        <f t="shared" si="96"/>
        <v>  -   </v>
      </c>
      <c r="I236" s="88" t="str">
        <f t="shared" si="96"/>
        <v>  -   </v>
      </c>
      <c r="J236" s="88" t="str">
        <f t="shared" si="96"/>
        <v>  -   </v>
      </c>
      <c r="K236" s="93"/>
      <c r="L236" s="93"/>
      <c r="M236" s="93"/>
      <c r="N236" s="93"/>
      <c r="O236" s="93"/>
      <c r="P236" s="93"/>
      <c r="Q236" s="93"/>
      <c r="R236" s="93"/>
      <c r="S236" s="93"/>
      <c r="T236" s="93"/>
      <c r="U236" s="93"/>
      <c r="V236" s="93"/>
      <c r="W236" s="93"/>
    </row>
    <row r="237">
      <c r="A237" s="87" t="str">
        <f t="shared" si="58"/>
        <v/>
      </c>
      <c r="B237" s="87"/>
      <c r="C237" s="391"/>
      <c r="D237" s="88" t="str">
        <f t="shared" ref="D237:J237" si="97">C102*$C237*D$124</f>
        <v>  -   </v>
      </c>
      <c r="E237" s="88" t="str">
        <f t="shared" si="97"/>
        <v>  -   </v>
      </c>
      <c r="F237" s="88" t="str">
        <f t="shared" si="97"/>
        <v>  -   </v>
      </c>
      <c r="G237" s="88" t="str">
        <f t="shared" si="97"/>
        <v>  -   </v>
      </c>
      <c r="H237" s="88" t="str">
        <f t="shared" si="97"/>
        <v>  -   </v>
      </c>
      <c r="I237" s="88" t="str">
        <f t="shared" si="97"/>
        <v>  -   </v>
      </c>
      <c r="J237" s="88" t="str">
        <f t="shared" si="97"/>
        <v>  -   </v>
      </c>
      <c r="K237" s="93"/>
      <c r="L237" s="93"/>
      <c r="M237" s="93"/>
      <c r="N237" s="93"/>
      <c r="O237" s="93"/>
      <c r="P237" s="93"/>
      <c r="Q237" s="93"/>
      <c r="R237" s="93"/>
      <c r="S237" s="93"/>
      <c r="T237" s="93"/>
      <c r="U237" s="93"/>
      <c r="V237" s="93"/>
      <c r="W237" s="93"/>
    </row>
    <row r="238">
      <c r="A238" s="87" t="str">
        <f t="shared" si="58"/>
        <v/>
      </c>
      <c r="B238" s="87"/>
      <c r="C238" s="391"/>
      <c r="D238" s="88" t="str">
        <f t="shared" ref="D238:J238" si="98">C103*$C238*D$124</f>
        <v>  -   </v>
      </c>
      <c r="E238" s="88" t="str">
        <f t="shared" si="98"/>
        <v>  -   </v>
      </c>
      <c r="F238" s="88" t="str">
        <f t="shared" si="98"/>
        <v>  -   </v>
      </c>
      <c r="G238" s="88" t="str">
        <f t="shared" si="98"/>
        <v>  -   </v>
      </c>
      <c r="H238" s="88" t="str">
        <f t="shared" si="98"/>
        <v>  -   </v>
      </c>
      <c r="I238" s="88" t="str">
        <f t="shared" si="98"/>
        <v>  -   </v>
      </c>
      <c r="J238" s="88" t="str">
        <f t="shared" si="98"/>
        <v>  -   </v>
      </c>
      <c r="K238" s="93"/>
      <c r="L238" s="93"/>
      <c r="M238" s="93"/>
      <c r="N238" s="93"/>
      <c r="O238" s="93"/>
      <c r="P238" s="93"/>
      <c r="Q238" s="93"/>
      <c r="R238" s="93"/>
      <c r="S238" s="93"/>
      <c r="T238" s="93"/>
      <c r="U238" s="93"/>
      <c r="V238" s="93"/>
      <c r="W238" s="93"/>
    </row>
    <row r="239">
      <c r="A239" s="87" t="str">
        <f t="shared" ref="A239:A243" si="100">A175</f>
        <v>Pomegranate</v>
      </c>
      <c r="B239" s="87"/>
      <c r="C239" s="391"/>
      <c r="D239" s="88" t="str">
        <f t="shared" ref="D239:J239" si="99">C107*$C239*D$124</f>
        <v>  -   </v>
      </c>
      <c r="E239" s="88" t="str">
        <f t="shared" si="99"/>
        <v>  -   </v>
      </c>
      <c r="F239" s="88" t="str">
        <f t="shared" si="99"/>
        <v>  -   </v>
      </c>
      <c r="G239" s="88" t="str">
        <f t="shared" si="99"/>
        <v>  -   </v>
      </c>
      <c r="H239" s="88" t="str">
        <f t="shared" si="99"/>
        <v>  -   </v>
      </c>
      <c r="I239" s="88" t="str">
        <f t="shared" si="99"/>
        <v>  -   </v>
      </c>
      <c r="J239" s="88" t="str">
        <f t="shared" si="99"/>
        <v>  -   </v>
      </c>
      <c r="K239" s="93"/>
      <c r="L239" s="93"/>
      <c r="M239" s="93"/>
      <c r="N239" s="93"/>
      <c r="O239" s="93"/>
      <c r="P239" s="93"/>
      <c r="Q239" s="93"/>
      <c r="R239" s="93"/>
      <c r="S239" s="93"/>
      <c r="T239" s="93"/>
      <c r="U239" s="93"/>
      <c r="V239" s="93"/>
      <c r="W239" s="93"/>
    </row>
    <row r="240">
      <c r="A240" s="87" t="str">
        <f t="shared" si="100"/>
        <v>Custard Apple</v>
      </c>
      <c r="B240" s="87"/>
      <c r="C240" s="391"/>
      <c r="D240" s="88" t="str">
        <f t="shared" ref="D240:J240" si="101">C108*$C240*D$124</f>
        <v>  -   </v>
      </c>
      <c r="E240" s="88" t="str">
        <f t="shared" si="101"/>
        <v>  -   </v>
      </c>
      <c r="F240" s="88" t="str">
        <f t="shared" si="101"/>
        <v>  -   </v>
      </c>
      <c r="G240" s="88" t="str">
        <f t="shared" si="101"/>
        <v>  -   </v>
      </c>
      <c r="H240" s="88" t="str">
        <f t="shared" si="101"/>
        <v>  -   </v>
      </c>
      <c r="I240" s="88" t="str">
        <f t="shared" si="101"/>
        <v>  -   </v>
      </c>
      <c r="J240" s="88" t="str">
        <f t="shared" si="101"/>
        <v>  -   </v>
      </c>
      <c r="K240" s="93"/>
      <c r="L240" s="93"/>
      <c r="M240" s="93"/>
      <c r="N240" s="93"/>
      <c r="O240" s="93"/>
      <c r="P240" s="93"/>
      <c r="Q240" s="93"/>
      <c r="R240" s="93"/>
      <c r="S240" s="93"/>
      <c r="T240" s="93"/>
      <c r="U240" s="93"/>
      <c r="V240" s="93"/>
      <c r="W240" s="93"/>
    </row>
    <row r="241">
      <c r="A241" s="87" t="str">
        <f t="shared" si="100"/>
        <v>Guava</v>
      </c>
      <c r="B241" s="87"/>
      <c r="C241" s="391"/>
      <c r="D241" s="88" t="str">
        <f t="shared" ref="D241:J241" si="102">C109*$C241*D$124</f>
        <v>  -   </v>
      </c>
      <c r="E241" s="88" t="str">
        <f t="shared" si="102"/>
        <v>  -   </v>
      </c>
      <c r="F241" s="88" t="str">
        <f t="shared" si="102"/>
        <v>  -   </v>
      </c>
      <c r="G241" s="88" t="str">
        <f t="shared" si="102"/>
        <v>  -   </v>
      </c>
      <c r="H241" s="88" t="str">
        <f t="shared" si="102"/>
        <v>  -   </v>
      </c>
      <c r="I241" s="88" t="str">
        <f t="shared" si="102"/>
        <v>  -   </v>
      </c>
      <c r="J241" s="88" t="str">
        <f t="shared" si="102"/>
        <v>  -   </v>
      </c>
      <c r="K241" s="93"/>
      <c r="L241" s="93"/>
      <c r="M241" s="93"/>
      <c r="N241" s="93"/>
      <c r="O241" s="93"/>
      <c r="P241" s="93"/>
      <c r="Q241" s="93"/>
      <c r="R241" s="93"/>
      <c r="S241" s="93"/>
      <c r="T241" s="93"/>
      <c r="U241" s="93"/>
      <c r="V241" s="93"/>
      <c r="W241" s="93"/>
    </row>
    <row r="242">
      <c r="A242" s="87" t="str">
        <f t="shared" si="100"/>
        <v>Citrus</v>
      </c>
      <c r="B242" s="87"/>
      <c r="C242" s="391"/>
      <c r="D242" s="88" t="str">
        <f t="shared" ref="D242:J242" si="103">C110*$C242*D$124</f>
        <v>  -   </v>
      </c>
      <c r="E242" s="88" t="str">
        <f t="shared" si="103"/>
        <v>  -   </v>
      </c>
      <c r="F242" s="88" t="str">
        <f t="shared" si="103"/>
        <v>  -   </v>
      </c>
      <c r="G242" s="88" t="str">
        <f t="shared" si="103"/>
        <v>  -   </v>
      </c>
      <c r="H242" s="88" t="str">
        <f t="shared" si="103"/>
        <v>  -   </v>
      </c>
      <c r="I242" s="88" t="str">
        <f t="shared" si="103"/>
        <v>  -   </v>
      </c>
      <c r="J242" s="88" t="str">
        <f t="shared" si="103"/>
        <v>  -   </v>
      </c>
      <c r="K242" s="93"/>
      <c r="L242" s="93"/>
      <c r="M242" s="93"/>
      <c r="N242" s="93"/>
      <c r="O242" s="93"/>
      <c r="P242" s="93"/>
      <c r="Q242" s="93"/>
      <c r="R242" s="93"/>
      <c r="S242" s="93"/>
      <c r="T242" s="93"/>
      <c r="U242" s="93"/>
      <c r="V242" s="93"/>
      <c r="W242" s="93"/>
    </row>
    <row r="243">
      <c r="A243" s="87" t="str">
        <f t="shared" si="100"/>
        <v/>
      </c>
      <c r="B243" s="87"/>
      <c r="C243" s="391"/>
      <c r="D243" s="88" t="str">
        <f t="shared" ref="D243:J243" si="104">C111*$C243*D$124</f>
        <v>  -   </v>
      </c>
      <c r="E243" s="88" t="str">
        <f t="shared" si="104"/>
        <v>  -   </v>
      </c>
      <c r="F243" s="88" t="str">
        <f t="shared" si="104"/>
        <v>  -   </v>
      </c>
      <c r="G243" s="88" t="str">
        <f t="shared" si="104"/>
        <v>  -   </v>
      </c>
      <c r="H243" s="88" t="str">
        <f t="shared" si="104"/>
        <v>  -   </v>
      </c>
      <c r="I243" s="88" t="str">
        <f t="shared" si="104"/>
        <v>  -   </v>
      </c>
      <c r="J243" s="88" t="str">
        <f t="shared" si="104"/>
        <v>  -   </v>
      </c>
      <c r="K243" s="93"/>
      <c r="L243" s="93"/>
      <c r="M243" s="93"/>
      <c r="N243" s="93"/>
      <c r="O243" s="93"/>
      <c r="P243" s="93"/>
      <c r="Q243" s="93"/>
      <c r="R243" s="93"/>
      <c r="S243" s="93"/>
      <c r="T243" s="93"/>
      <c r="U243" s="93"/>
      <c r="V243" s="93"/>
      <c r="W243" s="93"/>
    </row>
    <row r="244">
      <c r="A244" s="87" t="str">
        <f t="shared" ref="A244:A247" si="105">A181</f>
        <v>Fertilizer(Rate/KG)</v>
      </c>
      <c r="B244" s="87"/>
      <c r="C244" s="88"/>
      <c r="D244" s="88"/>
      <c r="E244" s="88"/>
      <c r="F244" s="88"/>
      <c r="G244" s="88"/>
      <c r="H244" s="88"/>
      <c r="I244" s="88"/>
      <c r="J244" s="88"/>
      <c r="K244" s="93"/>
      <c r="L244" s="93"/>
      <c r="M244" s="93"/>
      <c r="N244" s="93"/>
      <c r="O244" s="93"/>
      <c r="P244" s="93"/>
      <c r="Q244" s="93"/>
      <c r="R244" s="93"/>
      <c r="S244" s="93"/>
      <c r="T244" s="93"/>
      <c r="U244" s="93"/>
      <c r="V244" s="93"/>
      <c r="W244" s="93"/>
    </row>
    <row r="245">
      <c r="A245" s="87" t="str">
        <f t="shared" si="105"/>
        <v>SSP</v>
      </c>
      <c r="B245" s="87"/>
      <c r="C245" s="391">
        <v>6.0</v>
      </c>
      <c r="D245" s="88" t="str">
        <f t="shared" ref="D245:J245" si="106">C114*$C$245*D124</f>
        <v>  -   </v>
      </c>
      <c r="E245" s="88" t="str">
        <f t="shared" si="106"/>
        <v>  -   </v>
      </c>
      <c r="F245" s="88" t="str">
        <f t="shared" si="106"/>
        <v>  -   </v>
      </c>
      <c r="G245" s="88" t="str">
        <f t="shared" si="106"/>
        <v>  -   </v>
      </c>
      <c r="H245" s="88" t="str">
        <f t="shared" si="106"/>
        <v>  -   </v>
      </c>
      <c r="I245" s="88" t="str">
        <f t="shared" si="106"/>
        <v>  -   </v>
      </c>
      <c r="J245" s="88" t="str">
        <f t="shared" si="106"/>
        <v>  -   </v>
      </c>
      <c r="K245" s="93"/>
      <c r="L245" s="93"/>
      <c r="M245" s="93"/>
      <c r="N245" s="93"/>
      <c r="O245" s="93"/>
      <c r="P245" s="93"/>
      <c r="Q245" s="93"/>
      <c r="R245" s="93"/>
      <c r="S245" s="93"/>
      <c r="T245" s="93"/>
      <c r="U245" s="93"/>
      <c r="V245" s="93"/>
      <c r="W245" s="93"/>
    </row>
    <row r="246">
      <c r="A246" s="87" t="str">
        <f t="shared" si="105"/>
        <v>Urea</v>
      </c>
      <c r="B246" s="87"/>
      <c r="C246" s="391">
        <v>5.0</v>
      </c>
      <c r="D246" s="88" t="str">
        <f t="shared" ref="D246:J246" si="107">C115*$C$246*D124</f>
        <v>  -   </v>
      </c>
      <c r="E246" s="88" t="str">
        <f t="shared" si="107"/>
        <v>  -   </v>
      </c>
      <c r="F246" s="88" t="str">
        <f t="shared" si="107"/>
        <v>  -   </v>
      </c>
      <c r="G246" s="88" t="str">
        <f t="shared" si="107"/>
        <v>  -   </v>
      </c>
      <c r="H246" s="88" t="str">
        <f t="shared" si="107"/>
        <v>  -   </v>
      </c>
      <c r="I246" s="88" t="str">
        <f t="shared" si="107"/>
        <v>  -   </v>
      </c>
      <c r="J246" s="88" t="str">
        <f t="shared" si="107"/>
        <v>  -   </v>
      </c>
      <c r="K246" s="93"/>
      <c r="L246" s="93"/>
      <c r="M246" s="93"/>
      <c r="N246" s="93"/>
      <c r="O246" s="93"/>
      <c r="P246" s="93"/>
      <c r="Q246" s="93"/>
      <c r="R246" s="93"/>
      <c r="S246" s="93"/>
      <c r="T246" s="93"/>
      <c r="U246" s="93"/>
      <c r="V246" s="93"/>
      <c r="W246" s="93"/>
    </row>
    <row r="247">
      <c r="A247" s="87" t="str">
        <f t="shared" si="105"/>
        <v>DAP</v>
      </c>
      <c r="B247" s="87"/>
      <c r="C247" s="391">
        <v>27.0</v>
      </c>
      <c r="D247" s="88" t="str">
        <f t="shared" ref="D247:J247" si="108">C116*$C$247*D124</f>
        <v>  -   </v>
      </c>
      <c r="E247" s="88" t="str">
        <f t="shared" si="108"/>
        <v>  -   </v>
      </c>
      <c r="F247" s="88" t="str">
        <f t="shared" si="108"/>
        <v>  -   </v>
      </c>
      <c r="G247" s="88" t="str">
        <f t="shared" si="108"/>
        <v>  -   </v>
      </c>
      <c r="H247" s="88" t="str">
        <f t="shared" si="108"/>
        <v>  -   </v>
      </c>
      <c r="I247" s="88" t="str">
        <f t="shared" si="108"/>
        <v>  -   </v>
      </c>
      <c r="J247" s="88" t="str">
        <f t="shared" si="108"/>
        <v>  -   </v>
      </c>
      <c r="K247" s="93"/>
      <c r="L247" s="93"/>
      <c r="M247" s="93"/>
      <c r="N247" s="93"/>
      <c r="O247" s="93"/>
      <c r="P247" s="93"/>
      <c r="Q247" s="93"/>
      <c r="R247" s="93"/>
      <c r="S247" s="93"/>
      <c r="T247" s="93"/>
      <c r="U247" s="93"/>
      <c r="V247" s="93"/>
      <c r="W247" s="93"/>
    </row>
    <row r="248">
      <c r="A248" s="87"/>
      <c r="B248" s="87"/>
      <c r="C248" s="88"/>
      <c r="D248" s="88"/>
      <c r="E248" s="88"/>
      <c r="F248" s="88"/>
      <c r="G248" s="88"/>
      <c r="H248" s="88"/>
      <c r="I248" s="88"/>
      <c r="J248" s="88"/>
      <c r="K248" s="93"/>
      <c r="L248" s="93"/>
      <c r="M248" s="93"/>
      <c r="N248" s="93"/>
      <c r="O248" s="93"/>
      <c r="P248" s="93"/>
      <c r="Q248" s="93"/>
      <c r="R248" s="93"/>
      <c r="S248" s="93"/>
      <c r="T248" s="93"/>
      <c r="U248" s="93"/>
      <c r="V248" s="93"/>
      <c r="W248" s="93"/>
    </row>
    <row r="249">
      <c r="A249" s="87" t="str">
        <f t="shared" ref="A249:A251" si="109">A186</f>
        <v>Pesticide</v>
      </c>
      <c r="B249" s="87"/>
      <c r="C249" s="88"/>
      <c r="D249" s="88"/>
      <c r="E249" s="88"/>
      <c r="F249" s="88"/>
      <c r="G249" s="88"/>
      <c r="H249" s="88"/>
      <c r="I249" s="88"/>
      <c r="J249" s="88"/>
      <c r="K249" s="93"/>
      <c r="L249" s="93"/>
      <c r="M249" s="93"/>
      <c r="N249" s="93"/>
      <c r="O249" s="93"/>
      <c r="P249" s="93"/>
      <c r="Q249" s="93"/>
      <c r="R249" s="93"/>
      <c r="S249" s="93"/>
      <c r="T249" s="93"/>
      <c r="U249" s="93"/>
      <c r="V249" s="93"/>
      <c r="W249" s="93"/>
    </row>
    <row r="250">
      <c r="A250" s="87" t="str">
        <f t="shared" si="109"/>
        <v>Dupont Coragen</v>
      </c>
      <c r="B250" s="87"/>
      <c r="C250" s="391">
        <v>2800.0</v>
      </c>
      <c r="D250" s="88" t="str">
        <f t="shared" ref="D250:J250" si="110">C118*$C$250*D124</f>
        <v>  -   </v>
      </c>
      <c r="E250" s="88" t="str">
        <f t="shared" si="110"/>
        <v>  -   </v>
      </c>
      <c r="F250" s="88" t="str">
        <f t="shared" si="110"/>
        <v>  -   </v>
      </c>
      <c r="G250" s="88" t="str">
        <f t="shared" si="110"/>
        <v>  -   </v>
      </c>
      <c r="H250" s="88" t="str">
        <f t="shared" si="110"/>
        <v>  -   </v>
      </c>
      <c r="I250" s="88" t="str">
        <f t="shared" si="110"/>
        <v>  -   </v>
      </c>
      <c r="J250" s="88" t="str">
        <f t="shared" si="110"/>
        <v>  -   </v>
      </c>
      <c r="K250" s="93"/>
      <c r="L250" s="93"/>
      <c r="M250" s="93"/>
      <c r="N250" s="93"/>
      <c r="O250" s="93"/>
      <c r="P250" s="93"/>
      <c r="Q250" s="93"/>
      <c r="R250" s="93"/>
      <c r="S250" s="93"/>
      <c r="T250" s="93"/>
      <c r="U250" s="93"/>
      <c r="V250" s="93"/>
      <c r="W250" s="93"/>
    </row>
    <row r="251">
      <c r="A251" s="87" t="str">
        <f t="shared" si="109"/>
        <v>Confidor Boyer</v>
      </c>
      <c r="B251" s="87"/>
      <c r="C251" s="391">
        <v>2000.0</v>
      </c>
      <c r="D251" s="88" t="str">
        <f t="shared" ref="D251:J251" si="111">C119*$C$251*D124</f>
        <v>  -   </v>
      </c>
      <c r="E251" s="88" t="str">
        <f t="shared" si="111"/>
        <v>  -   </v>
      </c>
      <c r="F251" s="88" t="str">
        <f t="shared" si="111"/>
        <v>  -   </v>
      </c>
      <c r="G251" s="88" t="str">
        <f t="shared" si="111"/>
        <v>  -   </v>
      </c>
      <c r="H251" s="88" t="str">
        <f t="shared" si="111"/>
        <v>  -   </v>
      </c>
      <c r="I251" s="88" t="str">
        <f t="shared" si="111"/>
        <v>  -   </v>
      </c>
      <c r="J251" s="88" t="str">
        <f t="shared" si="111"/>
        <v>  -   </v>
      </c>
      <c r="K251" s="93"/>
      <c r="L251" s="93"/>
      <c r="M251" s="93"/>
      <c r="N251" s="93"/>
      <c r="O251" s="93"/>
      <c r="P251" s="93"/>
      <c r="Q251" s="93"/>
      <c r="R251" s="93"/>
      <c r="S251" s="93"/>
      <c r="T251" s="93"/>
      <c r="U251" s="93"/>
      <c r="V251" s="93"/>
      <c r="W251" s="93"/>
    </row>
    <row r="252">
      <c r="A252" s="87"/>
      <c r="B252" s="87"/>
      <c r="C252" s="88"/>
      <c r="D252" s="88"/>
      <c r="E252" s="88"/>
      <c r="F252" s="88"/>
      <c r="G252" s="88"/>
      <c r="H252" s="88"/>
      <c r="I252" s="88"/>
      <c r="J252" s="88"/>
      <c r="K252" s="93"/>
      <c r="L252" s="93"/>
      <c r="M252" s="93"/>
      <c r="N252" s="93"/>
      <c r="O252" s="93"/>
      <c r="P252" s="93"/>
      <c r="Q252" s="93"/>
      <c r="R252" s="93"/>
      <c r="S252" s="93"/>
      <c r="T252" s="93"/>
      <c r="U252" s="93"/>
      <c r="V252" s="93"/>
      <c r="W252" s="93"/>
    </row>
    <row r="253">
      <c r="A253" s="87" t="s">
        <v>717</v>
      </c>
      <c r="B253" s="87"/>
      <c r="C253" s="391">
        <v>10.0</v>
      </c>
      <c r="D253" s="88" t="str">
        <f t="shared" ref="D253:J253" si="112">(SUM(C63:C119)/50)*$C$253*D124</f>
        <v>  -   </v>
      </c>
      <c r="E253" s="88" t="str">
        <f t="shared" si="112"/>
        <v>  -   </v>
      </c>
      <c r="F253" s="88" t="str">
        <f t="shared" si="112"/>
        <v>  -   </v>
      </c>
      <c r="G253" s="88" t="str">
        <f t="shared" si="112"/>
        <v>  -   </v>
      </c>
      <c r="H253" s="88" t="str">
        <f t="shared" si="112"/>
        <v>  -   </v>
      </c>
      <c r="I253" s="88" t="str">
        <f t="shared" si="112"/>
        <v>  -   </v>
      </c>
      <c r="J253" s="88" t="str">
        <f t="shared" si="112"/>
        <v>  -   </v>
      </c>
      <c r="K253" s="93"/>
      <c r="L253" s="93"/>
      <c r="M253" s="93"/>
      <c r="N253" s="93"/>
      <c r="O253" s="93"/>
      <c r="P253" s="93"/>
      <c r="Q253" s="93"/>
      <c r="R253" s="93"/>
      <c r="S253" s="93"/>
      <c r="T253" s="93"/>
      <c r="U253" s="93"/>
      <c r="V253" s="93"/>
      <c r="W253" s="93"/>
    </row>
    <row r="254">
      <c r="A254" s="87" t="s">
        <v>718</v>
      </c>
      <c r="B254" s="87"/>
      <c r="C254" s="391">
        <v>100.0</v>
      </c>
      <c r="D254" s="88" t="str">
        <f t="shared" ref="D254:J254" si="113">(SUM(C63:C119)/50)*$C$254*D124</f>
        <v>  -   </v>
      </c>
      <c r="E254" s="88" t="str">
        <f t="shared" si="113"/>
        <v>  -   </v>
      </c>
      <c r="F254" s="88" t="str">
        <f t="shared" si="113"/>
        <v>  -   </v>
      </c>
      <c r="G254" s="88" t="str">
        <f t="shared" si="113"/>
        <v>  -   </v>
      </c>
      <c r="H254" s="88" t="str">
        <f t="shared" si="113"/>
        <v>  -   </v>
      </c>
      <c r="I254" s="88" t="str">
        <f t="shared" si="113"/>
        <v>  -   </v>
      </c>
      <c r="J254" s="88" t="str">
        <f t="shared" si="113"/>
        <v>  -   </v>
      </c>
      <c r="K254" s="93"/>
      <c r="L254" s="93"/>
      <c r="M254" s="93"/>
      <c r="N254" s="93"/>
      <c r="O254" s="93"/>
      <c r="P254" s="93"/>
      <c r="Q254" s="93"/>
      <c r="R254" s="93"/>
      <c r="S254" s="93"/>
      <c r="T254" s="93"/>
      <c r="U254" s="93"/>
      <c r="V254" s="93"/>
      <c r="W254" s="93"/>
    </row>
    <row r="255">
      <c r="A255" s="87"/>
      <c r="B255" s="87"/>
      <c r="C255" s="391"/>
      <c r="D255" s="393"/>
      <c r="E255" s="88"/>
      <c r="F255" s="88"/>
      <c r="G255" s="88"/>
      <c r="H255" s="88"/>
      <c r="I255" s="88"/>
      <c r="J255" s="88"/>
      <c r="K255" s="93"/>
      <c r="L255" s="93"/>
      <c r="M255" s="93"/>
      <c r="N255" s="93"/>
      <c r="O255" s="93"/>
      <c r="P255" s="93"/>
      <c r="Q255" s="93"/>
      <c r="R255" s="93"/>
      <c r="S255" s="93"/>
      <c r="T255" s="93"/>
      <c r="U255" s="93"/>
      <c r="V255" s="93"/>
      <c r="W255" s="93"/>
    </row>
    <row r="256">
      <c r="A256" s="87"/>
      <c r="B256" s="87"/>
      <c r="C256" s="391"/>
      <c r="D256" s="393"/>
      <c r="E256" s="88"/>
      <c r="F256" s="88"/>
      <c r="G256" s="88"/>
      <c r="H256" s="88"/>
      <c r="I256" s="88"/>
      <c r="J256" s="88"/>
      <c r="K256" s="93"/>
      <c r="L256" s="93"/>
      <c r="M256" s="93"/>
      <c r="N256" s="93"/>
      <c r="O256" s="93"/>
      <c r="P256" s="93"/>
      <c r="Q256" s="93"/>
      <c r="R256" s="93"/>
      <c r="S256" s="93"/>
      <c r="T256" s="93"/>
      <c r="U256" s="93"/>
      <c r="V256" s="93"/>
      <c r="W256" s="93"/>
    </row>
    <row r="257">
      <c r="A257" s="87"/>
      <c r="B257" s="87"/>
      <c r="C257" s="391"/>
      <c r="D257" s="393"/>
      <c r="E257" s="88"/>
      <c r="F257" s="88"/>
      <c r="G257" s="88"/>
      <c r="H257" s="88"/>
      <c r="I257" s="88"/>
      <c r="J257" s="88"/>
      <c r="K257" s="93"/>
      <c r="L257" s="93"/>
      <c r="M257" s="93"/>
      <c r="N257" s="93"/>
      <c r="O257" s="93"/>
      <c r="P257" s="93"/>
      <c r="Q257" s="93"/>
      <c r="R257" s="93"/>
      <c r="S257" s="93"/>
      <c r="T257" s="93"/>
      <c r="U257" s="93"/>
      <c r="V257" s="93"/>
      <c r="W257" s="93"/>
    </row>
    <row r="258">
      <c r="A258" s="87"/>
      <c r="B258" s="87"/>
      <c r="C258" s="391"/>
      <c r="D258" s="393"/>
      <c r="E258" s="88"/>
      <c r="F258" s="88"/>
      <c r="G258" s="88"/>
      <c r="H258" s="88"/>
      <c r="I258" s="88"/>
      <c r="J258" s="88"/>
      <c r="K258" s="93"/>
      <c r="L258" s="93"/>
      <c r="M258" s="93"/>
      <c r="N258" s="93"/>
      <c r="O258" s="93"/>
      <c r="P258" s="93"/>
      <c r="Q258" s="93"/>
      <c r="R258" s="93"/>
      <c r="S258" s="93"/>
      <c r="T258" s="93"/>
      <c r="U258" s="93"/>
      <c r="V258" s="93"/>
      <c r="W258" s="93"/>
    </row>
    <row r="259">
      <c r="A259" s="87" t="s">
        <v>627</v>
      </c>
      <c r="B259" s="87"/>
      <c r="C259" s="88"/>
      <c r="D259" s="393"/>
      <c r="E259" s="88" t="str">
        <f>'5.Closing Stock &amp; W Capital'!F6</f>
        <v>  -   </v>
      </c>
      <c r="F259" s="88" t="str">
        <f>'5.Closing Stock &amp; W Capital'!G6</f>
        <v>  -   </v>
      </c>
      <c r="G259" s="88" t="str">
        <f>'5.Closing Stock &amp; W Capital'!H6</f>
        <v>  -   </v>
      </c>
      <c r="H259" s="88" t="str">
        <f>'5.Closing Stock &amp; W Capital'!I6</f>
        <v>  -   </v>
      </c>
      <c r="I259" s="88" t="str">
        <f>'5.Closing Stock &amp; W Capital'!J6</f>
        <v>  -   </v>
      </c>
      <c r="J259" s="88" t="str">
        <f>'5.Closing Stock &amp; W Capital'!K6</f>
        <v>  -   </v>
      </c>
      <c r="K259" s="93"/>
      <c r="L259" s="93"/>
      <c r="M259" s="93"/>
      <c r="N259" s="93"/>
      <c r="O259" s="93"/>
      <c r="P259" s="93"/>
      <c r="Q259" s="93"/>
      <c r="R259" s="93"/>
      <c r="S259" s="93"/>
      <c r="T259" s="93"/>
      <c r="U259" s="93"/>
      <c r="V259" s="93"/>
      <c r="W259" s="93"/>
    </row>
    <row r="260">
      <c r="A260" s="87" t="s">
        <v>628</v>
      </c>
      <c r="B260" s="87"/>
      <c r="C260" s="87"/>
      <c r="D260" s="393" t="str">
        <f>'5.Closing Stock &amp; W Capital'!E15</f>
        <v>  -   </v>
      </c>
      <c r="E260" s="88" t="str">
        <f>'5.Closing Stock &amp; W Capital'!F15</f>
        <v>  -   </v>
      </c>
      <c r="F260" s="88" t="str">
        <f>'5.Closing Stock &amp; W Capital'!G15</f>
        <v>  -   </v>
      </c>
      <c r="G260" s="88" t="str">
        <f>'5.Closing Stock &amp; W Capital'!H15</f>
        <v>  -   </v>
      </c>
      <c r="H260" s="88" t="str">
        <f>'5.Closing Stock &amp; W Capital'!I15</f>
        <v>  -   </v>
      </c>
      <c r="I260" s="88" t="str">
        <f>'5.Closing Stock &amp; W Capital'!J15</f>
        <v>  -   </v>
      </c>
      <c r="J260" s="88" t="str">
        <f>'5.Closing Stock &amp; W Capital'!K15</f>
        <v>  -   </v>
      </c>
      <c r="K260" s="93"/>
      <c r="L260" s="93"/>
      <c r="M260" s="93"/>
      <c r="N260" s="93"/>
      <c r="O260" s="93"/>
      <c r="P260" s="93"/>
      <c r="Q260" s="93"/>
      <c r="R260" s="93"/>
      <c r="S260" s="93"/>
      <c r="T260" s="93"/>
      <c r="U260" s="93"/>
      <c r="V260" s="93"/>
      <c r="W260" s="93"/>
    </row>
    <row r="261">
      <c r="A261" s="87"/>
      <c r="B261" s="87"/>
      <c r="C261" s="87"/>
      <c r="D261" s="93"/>
      <c r="E261" s="93"/>
      <c r="F261" s="93"/>
      <c r="G261" s="93"/>
      <c r="H261" s="93"/>
      <c r="I261" s="93"/>
      <c r="J261" s="93"/>
      <c r="K261" s="93"/>
      <c r="L261" s="93"/>
      <c r="M261" s="93"/>
      <c r="N261" s="93"/>
      <c r="O261" s="93"/>
      <c r="P261" s="93"/>
      <c r="Q261" s="93"/>
      <c r="R261" s="93"/>
      <c r="S261" s="93"/>
      <c r="T261" s="93"/>
      <c r="U261" s="93"/>
      <c r="V261" s="93"/>
      <c r="W261" s="93"/>
    </row>
    <row r="262">
      <c r="A262" s="90" t="s">
        <v>456</v>
      </c>
      <c r="B262" s="90"/>
      <c r="C262" s="91"/>
      <c r="D262" s="91" t="str">
        <f t="shared" ref="D262:J262" si="114">SUM(D197:D258)+D259-D260</f>
        <v>  -   </v>
      </c>
      <c r="E262" s="91" t="str">
        <f t="shared" si="114"/>
        <v>  -   </v>
      </c>
      <c r="F262" s="91" t="str">
        <f t="shared" si="114"/>
        <v>  -   </v>
      </c>
      <c r="G262" s="91" t="str">
        <f t="shared" si="114"/>
        <v>  -   </v>
      </c>
      <c r="H262" s="91" t="str">
        <f t="shared" si="114"/>
        <v>  -   </v>
      </c>
      <c r="I262" s="91" t="str">
        <f t="shared" si="114"/>
        <v>  -   </v>
      </c>
      <c r="J262" s="91" t="str">
        <f t="shared" si="114"/>
        <v>  -   </v>
      </c>
      <c r="K262" s="93"/>
      <c r="L262" s="93"/>
      <c r="M262" s="93"/>
      <c r="N262" s="93"/>
      <c r="O262" s="93"/>
      <c r="P262" s="93"/>
      <c r="Q262" s="93"/>
      <c r="R262" s="93"/>
      <c r="S262" s="93"/>
      <c r="T262" s="93"/>
      <c r="U262" s="93"/>
      <c r="V262" s="93"/>
      <c r="W262" s="93"/>
    </row>
    <row r="263">
      <c r="A263" s="87"/>
      <c r="B263" s="87"/>
      <c r="C263" s="88"/>
      <c r="D263" s="88"/>
      <c r="E263" s="88"/>
      <c r="F263" s="88"/>
      <c r="G263" s="88"/>
      <c r="H263" s="88"/>
      <c r="I263" s="88"/>
      <c r="J263" s="88"/>
      <c r="K263" s="93"/>
      <c r="L263" s="93"/>
      <c r="M263" s="93"/>
      <c r="N263" s="93"/>
      <c r="O263" s="93"/>
      <c r="P263" s="93"/>
      <c r="Q263" s="93"/>
      <c r="R263" s="93"/>
      <c r="S263" s="93"/>
      <c r="T263" s="93"/>
      <c r="U263" s="93"/>
      <c r="V263" s="93"/>
      <c r="W263" s="93"/>
    </row>
    <row r="264">
      <c r="A264" s="90" t="s">
        <v>457</v>
      </c>
      <c r="B264" s="90"/>
      <c r="C264" s="88"/>
      <c r="D264" s="88"/>
      <c r="E264" s="88"/>
      <c r="F264" s="88"/>
      <c r="G264" s="88"/>
      <c r="H264" s="88"/>
      <c r="I264" s="88"/>
      <c r="J264" s="88"/>
      <c r="K264" s="93"/>
      <c r="L264" s="93"/>
      <c r="M264" s="93"/>
      <c r="N264" s="93"/>
      <c r="O264" s="93"/>
      <c r="P264" s="93"/>
      <c r="Q264" s="93"/>
      <c r="R264" s="93"/>
      <c r="S264" s="93"/>
      <c r="T264" s="93"/>
      <c r="U264" s="93"/>
      <c r="V264" s="93"/>
      <c r="W264" s="93"/>
    </row>
    <row r="265">
      <c r="A265" s="87" t="s">
        <v>719</v>
      </c>
      <c r="B265" s="87">
        <v>12.0</v>
      </c>
      <c r="C265" s="391"/>
      <c r="D265" s="88" t="str">
        <f t="shared" ref="D265:J265" si="115">$B$265*$C$265*D124</f>
        <v>  -   </v>
      </c>
      <c r="E265" s="88" t="str">
        <f t="shared" si="115"/>
        <v>  -   </v>
      </c>
      <c r="F265" s="88" t="str">
        <f t="shared" si="115"/>
        <v>  -   </v>
      </c>
      <c r="G265" s="88" t="str">
        <f t="shared" si="115"/>
        <v>  -   </v>
      </c>
      <c r="H265" s="88" t="str">
        <f t="shared" si="115"/>
        <v>  -   </v>
      </c>
      <c r="I265" s="88" t="str">
        <f t="shared" si="115"/>
        <v>  -   </v>
      </c>
      <c r="J265" s="88" t="str">
        <f t="shared" si="115"/>
        <v>  -   </v>
      </c>
      <c r="K265" s="93"/>
      <c r="L265" s="93"/>
      <c r="M265" s="93"/>
      <c r="N265" s="93"/>
      <c r="O265" s="93"/>
      <c r="P265" s="93"/>
      <c r="Q265" s="93"/>
      <c r="R265" s="93"/>
      <c r="S265" s="93"/>
      <c r="T265" s="93"/>
      <c r="U265" s="93"/>
      <c r="V265" s="93"/>
      <c r="W265" s="93"/>
    </row>
    <row r="266">
      <c r="A266" s="87" t="s">
        <v>720</v>
      </c>
      <c r="B266" s="157">
        <v>1.0</v>
      </c>
      <c r="C266" s="391"/>
      <c r="D266" s="88" t="str">
        <f t="shared" ref="D266:J266" si="116">$B$266*$C$266*12*D124</f>
        <v>  -   </v>
      </c>
      <c r="E266" s="88" t="str">
        <f t="shared" si="116"/>
        <v>  -   </v>
      </c>
      <c r="F266" s="88" t="str">
        <f t="shared" si="116"/>
        <v>  -   </v>
      </c>
      <c r="G266" s="88" t="str">
        <f t="shared" si="116"/>
        <v>  -   </v>
      </c>
      <c r="H266" s="88" t="str">
        <f t="shared" si="116"/>
        <v>  -   </v>
      </c>
      <c r="I266" s="88" t="str">
        <f t="shared" si="116"/>
        <v>  -   </v>
      </c>
      <c r="J266" s="88" t="str">
        <f t="shared" si="116"/>
        <v>  -   </v>
      </c>
      <c r="K266" s="93"/>
      <c r="L266" s="93"/>
      <c r="M266" s="93"/>
      <c r="N266" s="93"/>
      <c r="O266" s="93"/>
      <c r="P266" s="93"/>
      <c r="Q266" s="93"/>
      <c r="R266" s="93"/>
      <c r="S266" s="93"/>
      <c r="T266" s="93"/>
      <c r="U266" s="93"/>
      <c r="V266" s="93"/>
      <c r="W266" s="93"/>
    </row>
    <row r="267">
      <c r="A267" s="87" t="s">
        <v>721</v>
      </c>
      <c r="B267" s="157">
        <v>1.0</v>
      </c>
      <c r="C267" s="391"/>
      <c r="D267" s="88" t="str">
        <f t="shared" ref="D267:J267" si="117">$B$267*$C$267*12*D124</f>
        <v>  -   </v>
      </c>
      <c r="E267" s="88" t="str">
        <f t="shared" si="117"/>
        <v>  -   </v>
      </c>
      <c r="F267" s="88" t="str">
        <f t="shared" si="117"/>
        <v>  -   </v>
      </c>
      <c r="G267" s="88" t="str">
        <f t="shared" si="117"/>
        <v>  -   </v>
      </c>
      <c r="H267" s="88" t="str">
        <f t="shared" si="117"/>
        <v>  -   </v>
      </c>
      <c r="I267" s="88" t="str">
        <f t="shared" si="117"/>
        <v>  -   </v>
      </c>
      <c r="J267" s="88" t="str">
        <f t="shared" si="117"/>
        <v>  -   </v>
      </c>
      <c r="K267" s="93"/>
      <c r="L267" s="93"/>
      <c r="M267" s="93"/>
      <c r="N267" s="93"/>
      <c r="O267" s="93"/>
      <c r="P267" s="93"/>
      <c r="Q267" s="93"/>
      <c r="R267" s="93"/>
      <c r="S267" s="93"/>
      <c r="T267" s="93"/>
      <c r="U267" s="93"/>
      <c r="V267" s="93"/>
      <c r="W267" s="93"/>
    </row>
    <row r="268">
      <c r="A268" s="87" t="s">
        <v>722</v>
      </c>
      <c r="B268" s="87">
        <v>12.0</v>
      </c>
      <c r="C268" s="391"/>
      <c r="D268" s="88" t="str">
        <f t="shared" ref="D268:J268" si="118">$B$268*$C$268*D124</f>
        <v>  -   </v>
      </c>
      <c r="E268" s="88" t="str">
        <f t="shared" si="118"/>
        <v>  -   </v>
      </c>
      <c r="F268" s="88" t="str">
        <f t="shared" si="118"/>
        <v>  -   </v>
      </c>
      <c r="G268" s="88" t="str">
        <f t="shared" si="118"/>
        <v>  -   </v>
      </c>
      <c r="H268" s="88" t="str">
        <f t="shared" si="118"/>
        <v>  -   </v>
      </c>
      <c r="I268" s="88" t="str">
        <f t="shared" si="118"/>
        <v>  -   </v>
      </c>
      <c r="J268" s="88" t="str">
        <f t="shared" si="118"/>
        <v>  -   </v>
      </c>
      <c r="K268" s="93"/>
      <c r="L268" s="93"/>
      <c r="M268" s="93"/>
      <c r="N268" s="93"/>
      <c r="O268" s="93"/>
      <c r="P268" s="93"/>
      <c r="Q268" s="93"/>
      <c r="R268" s="93"/>
      <c r="S268" s="93"/>
      <c r="T268" s="93"/>
      <c r="U268" s="93"/>
      <c r="V268" s="93"/>
      <c r="W268" s="93"/>
    </row>
    <row r="269">
      <c r="A269" s="87"/>
      <c r="B269" s="87"/>
      <c r="C269" s="391"/>
      <c r="D269" s="88"/>
      <c r="E269" s="88"/>
      <c r="F269" s="88"/>
      <c r="G269" s="88"/>
      <c r="H269" s="88"/>
      <c r="I269" s="88"/>
      <c r="J269" s="88"/>
      <c r="K269" s="93"/>
      <c r="L269" s="93"/>
      <c r="M269" s="93"/>
      <c r="N269" s="93"/>
      <c r="O269" s="93"/>
      <c r="P269" s="93"/>
      <c r="Q269" s="93"/>
      <c r="R269" s="93"/>
      <c r="S269" s="93"/>
      <c r="T269" s="93"/>
      <c r="U269" s="93"/>
      <c r="V269" s="93"/>
      <c r="W269" s="93"/>
    </row>
    <row r="270">
      <c r="A270" s="87"/>
      <c r="B270" s="87"/>
      <c r="C270" s="391"/>
      <c r="D270" s="88"/>
      <c r="E270" s="88"/>
      <c r="F270" s="88"/>
      <c r="G270" s="88"/>
      <c r="H270" s="88"/>
      <c r="I270" s="88"/>
      <c r="J270" s="88"/>
      <c r="K270" s="93"/>
      <c r="L270" s="93"/>
      <c r="M270" s="93"/>
      <c r="N270" s="93"/>
      <c r="O270" s="93"/>
      <c r="P270" s="93"/>
      <c r="Q270" s="93"/>
      <c r="R270" s="93"/>
      <c r="S270" s="93"/>
      <c r="T270" s="93"/>
      <c r="U270" s="93"/>
      <c r="V270" s="93"/>
      <c r="W270" s="93"/>
    </row>
    <row r="271">
      <c r="A271" s="87"/>
      <c r="B271" s="87"/>
      <c r="C271" s="391"/>
      <c r="D271" s="88"/>
      <c r="E271" s="88"/>
      <c r="F271" s="88"/>
      <c r="G271" s="88"/>
      <c r="H271" s="88"/>
      <c r="I271" s="88"/>
      <c r="J271" s="88"/>
      <c r="K271" s="93"/>
      <c r="L271" s="93"/>
      <c r="M271" s="93"/>
      <c r="N271" s="93"/>
      <c r="O271" s="93"/>
      <c r="P271" s="93"/>
      <c r="Q271" s="93"/>
      <c r="R271" s="93"/>
      <c r="S271" s="93"/>
      <c r="T271" s="93"/>
      <c r="U271" s="93"/>
      <c r="V271" s="93"/>
      <c r="W271" s="93"/>
    </row>
    <row r="272">
      <c r="A272" s="87"/>
      <c r="B272" s="87"/>
      <c r="C272" s="391"/>
      <c r="D272" s="88"/>
      <c r="E272" s="88"/>
      <c r="F272" s="88"/>
      <c r="G272" s="88"/>
      <c r="H272" s="88"/>
      <c r="I272" s="88"/>
      <c r="J272" s="88"/>
      <c r="K272" s="93"/>
      <c r="L272" s="93"/>
      <c r="M272" s="93"/>
      <c r="N272" s="93"/>
      <c r="O272" s="93"/>
      <c r="P272" s="93"/>
      <c r="Q272" s="93"/>
      <c r="R272" s="93"/>
      <c r="S272" s="93"/>
      <c r="T272" s="93"/>
      <c r="U272" s="93"/>
      <c r="V272" s="93"/>
      <c r="W272" s="93"/>
    </row>
    <row r="273">
      <c r="A273" s="90" t="s">
        <v>459</v>
      </c>
      <c r="B273" s="90"/>
      <c r="C273" s="91"/>
      <c r="D273" s="91" t="str">
        <f t="shared" ref="D273:J273" si="119">SUM(D265:D272)</f>
        <v>  -   </v>
      </c>
      <c r="E273" s="91" t="str">
        <f t="shared" si="119"/>
        <v>  -   </v>
      </c>
      <c r="F273" s="91" t="str">
        <f t="shared" si="119"/>
        <v>  -   </v>
      </c>
      <c r="G273" s="91" t="str">
        <f t="shared" si="119"/>
        <v>  -   </v>
      </c>
      <c r="H273" s="91" t="str">
        <f t="shared" si="119"/>
        <v>  -   </v>
      </c>
      <c r="I273" s="91" t="str">
        <f t="shared" si="119"/>
        <v>  -   </v>
      </c>
      <c r="J273" s="91" t="str">
        <f t="shared" si="119"/>
        <v>  -   </v>
      </c>
      <c r="K273" s="93"/>
      <c r="L273" s="93"/>
      <c r="M273" s="93"/>
      <c r="N273" s="93"/>
      <c r="O273" s="93"/>
      <c r="P273" s="93"/>
      <c r="Q273" s="93"/>
      <c r="R273" s="93"/>
      <c r="S273" s="93"/>
      <c r="T273" s="93"/>
      <c r="U273" s="93"/>
      <c r="V273" s="93"/>
      <c r="W273" s="93"/>
    </row>
    <row r="274">
      <c r="A274" s="382" t="s">
        <v>723</v>
      </c>
      <c r="B274" s="382"/>
      <c r="C274" s="394"/>
      <c r="D274" s="91" t="str">
        <f t="shared" ref="D274:J274" si="120">D262+D273</f>
        <v>  -   </v>
      </c>
      <c r="E274" s="91" t="str">
        <f t="shared" si="120"/>
        <v>  -   </v>
      </c>
      <c r="F274" s="91" t="str">
        <f t="shared" si="120"/>
        <v>  -   </v>
      </c>
      <c r="G274" s="91" t="str">
        <f t="shared" si="120"/>
        <v>  -   </v>
      </c>
      <c r="H274" s="91" t="str">
        <f t="shared" si="120"/>
        <v>  -   </v>
      </c>
      <c r="I274" s="91" t="str">
        <f t="shared" si="120"/>
        <v>  -   </v>
      </c>
      <c r="J274" s="91" t="str">
        <f t="shared" si="120"/>
        <v>  -   </v>
      </c>
      <c r="K274" s="93"/>
      <c r="L274" s="93"/>
      <c r="M274" s="93"/>
      <c r="N274" s="93"/>
      <c r="O274" s="93"/>
      <c r="P274" s="93"/>
      <c r="Q274" s="93"/>
      <c r="R274" s="93"/>
      <c r="S274" s="93"/>
      <c r="T274" s="93"/>
      <c r="U274" s="93"/>
      <c r="V274" s="93"/>
      <c r="W274" s="93"/>
    </row>
    <row r="275">
      <c r="A275" s="87"/>
      <c r="B275" s="87"/>
      <c r="C275" s="88"/>
      <c r="D275" s="88"/>
      <c r="E275" s="88"/>
      <c r="F275" s="88"/>
      <c r="G275" s="88"/>
      <c r="H275" s="88"/>
      <c r="I275" s="88"/>
      <c r="J275" s="88"/>
      <c r="K275" s="93"/>
      <c r="L275" s="93"/>
      <c r="M275" s="93"/>
      <c r="N275" s="93"/>
      <c r="O275" s="93"/>
      <c r="P275" s="93"/>
      <c r="Q275" s="93"/>
      <c r="R275" s="93"/>
      <c r="S275" s="93"/>
      <c r="T275" s="93"/>
      <c r="U275" s="93"/>
      <c r="V275" s="93"/>
      <c r="W275" s="93"/>
    </row>
    <row r="276">
      <c r="A276" s="382" t="s">
        <v>504</v>
      </c>
      <c r="B276" s="382"/>
      <c r="C276" s="394"/>
      <c r="D276" s="91" t="str">
        <f t="shared" ref="D276:J276" si="121">D191-D274</f>
        <v>  -   </v>
      </c>
      <c r="E276" s="91" t="str">
        <f t="shared" si="121"/>
        <v>  -   </v>
      </c>
      <c r="F276" s="91" t="str">
        <f t="shared" si="121"/>
        <v>  -   </v>
      </c>
      <c r="G276" s="91" t="str">
        <f t="shared" si="121"/>
        <v>  -   </v>
      </c>
      <c r="H276" s="91" t="str">
        <f t="shared" si="121"/>
        <v>  -   </v>
      </c>
      <c r="I276" s="91" t="str">
        <f t="shared" si="121"/>
        <v>  -   </v>
      </c>
      <c r="J276" s="91" t="str">
        <f t="shared" si="121"/>
        <v>  -   </v>
      </c>
      <c r="K276" s="93"/>
      <c r="L276" s="93"/>
      <c r="M276" s="93"/>
      <c r="N276" s="93"/>
      <c r="O276" s="93"/>
      <c r="P276" s="93"/>
      <c r="Q276" s="93"/>
      <c r="R276" s="93"/>
      <c r="S276" s="93"/>
      <c r="T276" s="93"/>
      <c r="U276" s="93"/>
      <c r="V276" s="93"/>
      <c r="W276" s="93"/>
    </row>
    <row r="277">
      <c r="A277" s="94"/>
      <c r="B277" s="94"/>
      <c r="C277" s="94"/>
      <c r="D277" s="93"/>
      <c r="E277" s="93"/>
      <c r="F277" s="93"/>
      <c r="G277" s="93"/>
      <c r="H277" s="93"/>
      <c r="I277" s="93"/>
      <c r="J277" s="93"/>
      <c r="K277" s="93"/>
      <c r="L277" s="93"/>
      <c r="M277" s="93"/>
      <c r="N277" s="93"/>
      <c r="O277" s="93"/>
      <c r="P277" s="93"/>
      <c r="Q277" s="93"/>
      <c r="R277" s="93"/>
      <c r="S277" s="93"/>
      <c r="T277" s="93"/>
      <c r="U277" s="93"/>
      <c r="V277" s="93"/>
      <c r="W277" s="93"/>
    </row>
    <row r="278">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c r="A279" s="45" t="s">
        <v>724</v>
      </c>
    </row>
    <row r="281">
      <c r="A281" t="s">
        <v>413</v>
      </c>
    </row>
    <row r="282">
      <c r="A282">
        <v>1.0</v>
      </c>
      <c r="B282" t="s">
        <v>636</v>
      </c>
    </row>
    <row r="283">
      <c r="A283">
        <v>2.0</v>
      </c>
      <c r="B283" t="s">
        <v>637</v>
      </c>
    </row>
    <row r="284">
      <c r="A284">
        <v>3.0</v>
      </c>
      <c r="B284" s="93" t="s">
        <v>638</v>
      </c>
    </row>
  </sheetData>
  <mergeCells count="3">
    <mergeCell ref="A122:J122"/>
    <mergeCell ref="A2:I2"/>
    <mergeCell ref="A279:J279"/>
  </mergeCells>
  <printOptions/>
  <pageMargins bottom="0.75" footer="0.0" header="0.0" left="0.7" right="0.7" top="0.75"/>
  <pageSetup orientation="portrait"/>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1"/>
    <row r="2"/>
    <row r="3">
      <c r="A3" s="25" t="s">
        <v>725</v>
      </c>
    </row>
    <row r="4">
      <c r="A4" s="25" t="s">
        <v>726</v>
      </c>
    </row>
    <row r="5">
      <c r="A5" s="93" t="s">
        <v>218</v>
      </c>
      <c r="B5" s="366">
        <v>1.0</v>
      </c>
      <c r="C5" s="93" t="s">
        <v>641</v>
      </c>
      <c r="D5" s="93"/>
      <c r="E5" s="93"/>
      <c r="F5" s="93"/>
      <c r="G5" s="93"/>
      <c r="H5" s="93"/>
    </row>
    <row r="6">
      <c r="A6" s="93" t="s">
        <v>608</v>
      </c>
      <c r="B6" s="367">
        <v>8.0</v>
      </c>
      <c r="C6" s="93"/>
      <c r="D6" s="93"/>
      <c r="E6" s="93"/>
      <c r="F6" s="93"/>
      <c r="G6" s="93"/>
      <c r="H6" s="93"/>
    </row>
    <row r="7">
      <c r="A7" s="93"/>
      <c r="B7" s="367"/>
      <c r="C7" s="93"/>
      <c r="D7" s="93"/>
      <c r="E7" s="93"/>
      <c r="F7" s="93"/>
      <c r="G7" s="93"/>
      <c r="H7" s="93"/>
    </row>
    <row r="8">
      <c r="A8" s="93"/>
      <c r="B8" s="367"/>
      <c r="C8" s="93"/>
      <c r="D8" s="93"/>
      <c r="E8" s="93"/>
      <c r="F8" s="93"/>
      <c r="G8" s="93"/>
      <c r="H8" s="93"/>
    </row>
    <row r="9">
      <c r="A9" s="93"/>
      <c r="B9" s="93"/>
      <c r="C9" s="93"/>
      <c r="D9" s="93"/>
      <c r="E9" s="93"/>
      <c r="F9" s="93"/>
      <c r="G9" s="93"/>
      <c r="H9" s="93"/>
    </row>
    <row r="10">
      <c r="A10" s="93"/>
      <c r="B10" s="93"/>
      <c r="C10" s="93"/>
      <c r="D10" s="93"/>
      <c r="E10" s="93"/>
      <c r="F10" s="93"/>
      <c r="G10" s="93"/>
      <c r="H10" s="93"/>
    </row>
    <row r="11">
      <c r="A11" s="97" t="s">
        <v>156</v>
      </c>
      <c r="B11" s="98" t="s">
        <v>137</v>
      </c>
      <c r="C11" s="98" t="s">
        <v>138</v>
      </c>
      <c r="D11" s="98" t="s">
        <v>139</v>
      </c>
      <c r="E11" s="98" t="s">
        <v>140</v>
      </c>
      <c r="F11" s="98" t="s">
        <v>141</v>
      </c>
      <c r="G11" s="98" t="s">
        <v>142</v>
      </c>
      <c r="H11" s="98" t="s">
        <v>143</v>
      </c>
    </row>
    <row r="12">
      <c r="A12" s="87" t="s">
        <v>642</v>
      </c>
      <c r="B12" s="368" t="str">
        <f t="shared" ref="B12:H12" si="1">B39/($B$5*$B$6)</f>
        <v>0</v>
      </c>
      <c r="C12" s="368" t="str">
        <f t="shared" si="1"/>
        <v>0</v>
      </c>
      <c r="D12" s="368" t="str">
        <f t="shared" si="1"/>
        <v>0</v>
      </c>
      <c r="E12" s="368" t="str">
        <f t="shared" si="1"/>
        <v>0</v>
      </c>
      <c r="F12" s="368" t="str">
        <f t="shared" si="1"/>
        <v>0</v>
      </c>
      <c r="G12" s="368" t="str">
        <f t="shared" si="1"/>
        <v>0</v>
      </c>
      <c r="H12" s="368" t="str">
        <f t="shared" si="1"/>
        <v>0</v>
      </c>
    </row>
    <row r="13">
      <c r="A13" s="87" t="str">
        <f>'11.F&amp;V Crop Production details'!A74</f>
        <v>Onion</v>
      </c>
      <c r="B13" s="87" t="str">
        <f>'11.F&amp;V Crop Production details'!B74</f>
        <v>0</v>
      </c>
      <c r="C13" s="87" t="str">
        <f>'11.F&amp;V Crop Production details'!C74</f>
        <v>0</v>
      </c>
      <c r="D13" s="87" t="str">
        <f>'11.F&amp;V Crop Production details'!D74</f>
        <v>0</v>
      </c>
      <c r="E13" s="87" t="str">
        <f>'11.F&amp;V Crop Production details'!E74</f>
        <v>0</v>
      </c>
      <c r="F13" s="87" t="str">
        <f>'11.F&amp;V Crop Production details'!F74</f>
        <v>0</v>
      </c>
      <c r="G13" s="87" t="str">
        <f>'11.F&amp;V Crop Production details'!G74</f>
        <v>0</v>
      </c>
      <c r="H13" s="87" t="str">
        <f>'11.F&amp;V Crop Production details'!H74</f>
        <v>0</v>
      </c>
    </row>
    <row r="14">
      <c r="A14" s="87" t="str">
        <f>'11.F&amp;V Crop Production details'!A75</f>
        <v>Tomato</v>
      </c>
      <c r="B14" s="87" t="str">
        <f>'11.F&amp;V Crop Production details'!B75</f>
        <v>0</v>
      </c>
      <c r="C14" s="87" t="str">
        <f>'11.F&amp;V Crop Production details'!C75</f>
        <v>0</v>
      </c>
      <c r="D14" s="87" t="str">
        <f>'11.F&amp;V Crop Production details'!D75</f>
        <v>0</v>
      </c>
      <c r="E14" s="87" t="str">
        <f>'11.F&amp;V Crop Production details'!E75</f>
        <v>0</v>
      </c>
      <c r="F14" s="87" t="str">
        <f>'11.F&amp;V Crop Production details'!F75</f>
        <v>0</v>
      </c>
      <c r="G14" s="87" t="str">
        <f>'11.F&amp;V Crop Production details'!G75</f>
        <v>0</v>
      </c>
      <c r="H14" s="87" t="str">
        <f>'11.F&amp;V Crop Production details'!H75</f>
        <v>0</v>
      </c>
    </row>
    <row r="15">
      <c r="A15" s="87" t="str">
        <f>'11.F&amp;V Crop Production details'!A76</f>
        <v>Okra</v>
      </c>
      <c r="B15" s="87" t="str">
        <f>'11.F&amp;V Crop Production details'!B76</f>
        <v>0</v>
      </c>
      <c r="C15" s="87" t="str">
        <f>'11.F&amp;V Crop Production details'!C76</f>
        <v>0</v>
      </c>
      <c r="D15" s="87" t="str">
        <f>'11.F&amp;V Crop Production details'!D76</f>
        <v>0</v>
      </c>
      <c r="E15" s="87" t="str">
        <f>'11.F&amp;V Crop Production details'!E76</f>
        <v>0</v>
      </c>
      <c r="F15" s="87" t="str">
        <f>'11.F&amp;V Crop Production details'!F76</f>
        <v>0</v>
      </c>
      <c r="G15" s="87" t="str">
        <f>'11.F&amp;V Crop Production details'!G76</f>
        <v>0</v>
      </c>
      <c r="H15" s="87" t="str">
        <f>'11.F&amp;V Crop Production details'!H76</f>
        <v>0</v>
      </c>
    </row>
    <row r="16">
      <c r="A16" s="87" t="str">
        <f>'11.F&amp;V Crop Production details'!A77</f>
        <v>Chilli</v>
      </c>
      <c r="B16" s="87" t="str">
        <f>'11.F&amp;V Crop Production details'!B77</f>
        <v>0</v>
      </c>
      <c r="C16" s="87" t="str">
        <f>'11.F&amp;V Crop Production details'!C77</f>
        <v>0</v>
      </c>
      <c r="D16" s="87" t="str">
        <f>'11.F&amp;V Crop Production details'!D77</f>
        <v>0</v>
      </c>
      <c r="E16" s="87" t="str">
        <f>'11.F&amp;V Crop Production details'!E77</f>
        <v>0</v>
      </c>
      <c r="F16" s="87" t="str">
        <f>'11.F&amp;V Crop Production details'!F77</f>
        <v>0</v>
      </c>
      <c r="G16" s="87" t="str">
        <f>'11.F&amp;V Crop Production details'!G77</f>
        <v>0</v>
      </c>
      <c r="H16" s="87" t="str">
        <f>'11.F&amp;V Crop Production details'!H77</f>
        <v>0</v>
      </c>
    </row>
    <row r="17">
      <c r="A17" s="87" t="str">
        <f>'11.F&amp;V Crop Production details'!A78</f>
        <v>Potato</v>
      </c>
      <c r="B17" s="87" t="str">
        <f>'11.F&amp;V Crop Production details'!B78</f>
        <v>0</v>
      </c>
      <c r="C17" s="87" t="str">
        <f>'11.F&amp;V Crop Production details'!C78</f>
        <v>0</v>
      </c>
      <c r="D17" s="87" t="str">
        <f>'11.F&amp;V Crop Production details'!D78</f>
        <v>0</v>
      </c>
      <c r="E17" s="87" t="str">
        <f>'11.F&amp;V Crop Production details'!E78</f>
        <v>0</v>
      </c>
      <c r="F17" s="87" t="str">
        <f>'11.F&amp;V Crop Production details'!F78</f>
        <v>0</v>
      </c>
      <c r="G17" s="87" t="str">
        <f>'11.F&amp;V Crop Production details'!G78</f>
        <v>0</v>
      </c>
      <c r="H17" s="87" t="str">
        <f>'11.F&amp;V Crop Production details'!H78</f>
        <v>0</v>
      </c>
    </row>
    <row r="18">
      <c r="A18" s="87" t="str">
        <f>'11.F&amp;V Crop Production details'!A79</f>
        <v/>
      </c>
      <c r="B18" s="87" t="str">
        <f>'11.F&amp;V Crop Production details'!B79</f>
        <v>0</v>
      </c>
      <c r="C18" s="87" t="str">
        <f>'11.F&amp;V Crop Production details'!C79</f>
        <v>0</v>
      </c>
      <c r="D18" s="87" t="str">
        <f>'11.F&amp;V Crop Production details'!D79</f>
        <v>0</v>
      </c>
      <c r="E18" s="87" t="str">
        <f>'11.F&amp;V Crop Production details'!E79</f>
        <v>0</v>
      </c>
      <c r="F18" s="87" t="str">
        <f>'11.F&amp;V Crop Production details'!F79</f>
        <v>0</v>
      </c>
      <c r="G18" s="87" t="str">
        <f>'11.F&amp;V Crop Production details'!G79</f>
        <v>0</v>
      </c>
      <c r="H18" s="87" t="str">
        <f>'11.F&amp;V Crop Production details'!H79</f>
        <v>0</v>
      </c>
    </row>
    <row r="19">
      <c r="A19" s="87" t="str">
        <f>'11.F&amp;V Crop Production details'!A80</f>
        <v/>
      </c>
      <c r="B19" s="87" t="str">
        <f>'11.F&amp;V Crop Production details'!B80</f>
        <v>0</v>
      </c>
      <c r="C19" s="87" t="str">
        <f>'11.F&amp;V Crop Production details'!C80</f>
        <v>0</v>
      </c>
      <c r="D19" s="87" t="str">
        <f>'11.F&amp;V Crop Production details'!D80</f>
        <v>0</v>
      </c>
      <c r="E19" s="87" t="str">
        <f>'11.F&amp;V Crop Production details'!E80</f>
        <v>0</v>
      </c>
      <c r="F19" s="87" t="str">
        <f>'11.F&amp;V Crop Production details'!F80</f>
        <v>0</v>
      </c>
      <c r="G19" s="87" t="str">
        <f>'11.F&amp;V Crop Production details'!G80</f>
        <v>0</v>
      </c>
      <c r="H19" s="87" t="str">
        <f>'11.F&amp;V Crop Production details'!H80</f>
        <v>0</v>
      </c>
    </row>
    <row r="20">
      <c r="A20" s="87" t="str">
        <f>'11.F&amp;V Crop Production details'!A81</f>
        <v/>
      </c>
      <c r="B20" s="87" t="str">
        <f>'11.F&amp;V Crop Production details'!B81</f>
        <v>0</v>
      </c>
      <c r="C20" s="87" t="str">
        <f>'11.F&amp;V Crop Production details'!C81</f>
        <v>0</v>
      </c>
      <c r="D20" s="87" t="str">
        <f>'11.F&amp;V Crop Production details'!D81</f>
        <v>0</v>
      </c>
      <c r="E20" s="87" t="str">
        <f>'11.F&amp;V Crop Production details'!E81</f>
        <v>0</v>
      </c>
      <c r="F20" s="87" t="str">
        <f>'11.F&amp;V Crop Production details'!F81</f>
        <v>0</v>
      </c>
      <c r="G20" s="87" t="str">
        <f>'11.F&amp;V Crop Production details'!G81</f>
        <v>0</v>
      </c>
      <c r="H20" s="87" t="str">
        <f>'11.F&amp;V Crop Production details'!H81</f>
        <v>0</v>
      </c>
    </row>
    <row r="21">
      <c r="A21" s="87" t="str">
        <f>'11.F&amp;V Crop Production details'!A82</f>
        <v/>
      </c>
      <c r="B21" s="87" t="str">
        <f>'11.F&amp;V Crop Production details'!B82</f>
        <v>0</v>
      </c>
      <c r="C21" s="87" t="str">
        <f>'11.F&amp;V Crop Production details'!C82</f>
        <v>0</v>
      </c>
      <c r="D21" s="87" t="str">
        <f>'11.F&amp;V Crop Production details'!D82</f>
        <v>0</v>
      </c>
      <c r="E21" s="87" t="str">
        <f>'11.F&amp;V Crop Production details'!E82</f>
        <v>0</v>
      </c>
      <c r="F21" s="87" t="str">
        <f>'11.F&amp;V Crop Production details'!F82</f>
        <v>0</v>
      </c>
      <c r="G21" s="87" t="str">
        <f>'11.F&amp;V Crop Production details'!G82</f>
        <v>0</v>
      </c>
      <c r="H21" s="87" t="str">
        <f>'11.F&amp;V Crop Production details'!H82</f>
        <v>0</v>
      </c>
    </row>
    <row r="22">
      <c r="A22" s="87" t="str">
        <f>'11.F&amp;V Crop Production details'!A83</f>
        <v>Onion</v>
      </c>
      <c r="B22" s="87" t="str">
        <f>'11.F&amp;V Crop Production details'!B83</f>
        <v>0</v>
      </c>
      <c r="C22" s="87" t="str">
        <f>'11.F&amp;V Crop Production details'!C83</f>
        <v>0</v>
      </c>
      <c r="D22" s="87" t="str">
        <f>'11.F&amp;V Crop Production details'!D83</f>
        <v>0</v>
      </c>
      <c r="E22" s="87" t="str">
        <f>'11.F&amp;V Crop Production details'!E83</f>
        <v>0</v>
      </c>
      <c r="F22" s="87" t="str">
        <f>'11.F&amp;V Crop Production details'!F83</f>
        <v>0</v>
      </c>
      <c r="G22" s="87" t="str">
        <f>'11.F&amp;V Crop Production details'!G83</f>
        <v>0</v>
      </c>
      <c r="H22" s="87" t="str">
        <f>'11.F&amp;V Crop Production details'!H83</f>
        <v>0</v>
      </c>
    </row>
    <row r="23">
      <c r="A23" s="87" t="str">
        <f>'11.F&amp;V Crop Production details'!A84</f>
        <v>Tomato</v>
      </c>
      <c r="B23" s="87" t="str">
        <f>'11.F&amp;V Crop Production details'!B84</f>
        <v>0</v>
      </c>
      <c r="C23" s="87" t="str">
        <f>'11.F&amp;V Crop Production details'!C84</f>
        <v>0</v>
      </c>
      <c r="D23" s="87" t="str">
        <f>'11.F&amp;V Crop Production details'!D84</f>
        <v>0</v>
      </c>
      <c r="E23" s="87" t="str">
        <f>'11.F&amp;V Crop Production details'!E84</f>
        <v>0</v>
      </c>
      <c r="F23" s="87" t="str">
        <f>'11.F&amp;V Crop Production details'!F84</f>
        <v>0</v>
      </c>
      <c r="G23" s="87" t="str">
        <f>'11.F&amp;V Crop Production details'!G84</f>
        <v>0</v>
      </c>
      <c r="H23" s="87" t="str">
        <f>'11.F&amp;V Crop Production details'!H84</f>
        <v>0</v>
      </c>
    </row>
    <row r="24">
      <c r="A24" s="87" t="str">
        <f>'11.F&amp;V Crop Production details'!A85</f>
        <v>Okra</v>
      </c>
      <c r="B24" s="87" t="str">
        <f>'11.F&amp;V Crop Production details'!B85</f>
        <v>0</v>
      </c>
      <c r="C24" s="87" t="str">
        <f>'11.F&amp;V Crop Production details'!C85</f>
        <v>0</v>
      </c>
      <c r="D24" s="87" t="str">
        <f>'11.F&amp;V Crop Production details'!D85</f>
        <v>0</v>
      </c>
      <c r="E24" s="87" t="str">
        <f>'11.F&amp;V Crop Production details'!E85</f>
        <v>0</v>
      </c>
      <c r="F24" s="87" t="str">
        <f>'11.F&amp;V Crop Production details'!F85</f>
        <v>0</v>
      </c>
      <c r="G24" s="87" t="str">
        <f>'11.F&amp;V Crop Production details'!G85</f>
        <v>0</v>
      </c>
      <c r="H24" s="87" t="str">
        <f>'11.F&amp;V Crop Production details'!H85</f>
        <v>0</v>
      </c>
    </row>
    <row r="25">
      <c r="A25" s="87" t="str">
        <f>'11.F&amp;V Crop Production details'!A86</f>
        <v>Chilli</v>
      </c>
      <c r="B25" s="87" t="str">
        <f>'11.F&amp;V Crop Production details'!B86</f>
        <v>0</v>
      </c>
      <c r="C25" s="87" t="str">
        <f>'11.F&amp;V Crop Production details'!C86</f>
        <v>0</v>
      </c>
      <c r="D25" s="87" t="str">
        <f>'11.F&amp;V Crop Production details'!D86</f>
        <v>0</v>
      </c>
      <c r="E25" s="87" t="str">
        <f>'11.F&amp;V Crop Production details'!E86</f>
        <v>0</v>
      </c>
      <c r="F25" s="87" t="str">
        <f>'11.F&amp;V Crop Production details'!F86</f>
        <v>0</v>
      </c>
      <c r="G25" s="87" t="str">
        <f>'11.F&amp;V Crop Production details'!G86</f>
        <v>0</v>
      </c>
      <c r="H25" s="87" t="str">
        <f>'11.F&amp;V Crop Production details'!H86</f>
        <v>0</v>
      </c>
    </row>
    <row r="26">
      <c r="A26" s="87" t="str">
        <f>'11.F&amp;V Crop Production details'!A87</f>
        <v>Brinjal</v>
      </c>
      <c r="B26" s="87" t="str">
        <f>'11.F&amp;V Crop Production details'!B87</f>
        <v>0</v>
      </c>
      <c r="C26" s="87" t="str">
        <f>'11.F&amp;V Crop Production details'!C87</f>
        <v>0</v>
      </c>
      <c r="D26" s="87" t="str">
        <f>'11.F&amp;V Crop Production details'!D87</f>
        <v>0</v>
      </c>
      <c r="E26" s="87" t="str">
        <f>'11.F&amp;V Crop Production details'!E87</f>
        <v>0</v>
      </c>
      <c r="F26" s="87" t="str">
        <f>'11.F&amp;V Crop Production details'!F87</f>
        <v>0</v>
      </c>
      <c r="G26" s="87" t="str">
        <f>'11.F&amp;V Crop Production details'!G87</f>
        <v>0</v>
      </c>
      <c r="H26" s="87" t="str">
        <f>'11.F&amp;V Crop Production details'!H87</f>
        <v>0</v>
      </c>
    </row>
    <row r="27">
      <c r="A27" s="87" t="str">
        <f>'11.F&amp;V Crop Production details'!A88</f>
        <v/>
      </c>
      <c r="B27" s="87" t="str">
        <f>'11.F&amp;V Crop Production details'!B88</f>
        <v>0</v>
      </c>
      <c r="C27" s="87" t="str">
        <f>'11.F&amp;V Crop Production details'!C88</f>
        <v>0</v>
      </c>
      <c r="D27" s="87" t="str">
        <f>'11.F&amp;V Crop Production details'!D88</f>
        <v>0</v>
      </c>
      <c r="E27" s="87" t="str">
        <f>'11.F&amp;V Crop Production details'!E88</f>
        <v>0</v>
      </c>
      <c r="F27" s="87" t="str">
        <f>'11.F&amp;V Crop Production details'!F88</f>
        <v>0</v>
      </c>
      <c r="G27" s="87" t="str">
        <f>'11.F&amp;V Crop Production details'!G88</f>
        <v>0</v>
      </c>
      <c r="H27" s="87" t="str">
        <f>'11.F&amp;V Crop Production details'!H88</f>
        <v>0</v>
      </c>
    </row>
    <row r="28">
      <c r="A28" s="87" t="str">
        <f>'11.F&amp;V Crop Production details'!A89</f>
        <v/>
      </c>
      <c r="B28" s="87" t="str">
        <f>'11.F&amp;V Crop Production details'!B89</f>
        <v>0</v>
      </c>
      <c r="C28" s="87" t="str">
        <f>'11.F&amp;V Crop Production details'!C89</f>
        <v>0</v>
      </c>
      <c r="D28" s="87" t="str">
        <f>'11.F&amp;V Crop Production details'!D89</f>
        <v>0</v>
      </c>
      <c r="E28" s="87" t="str">
        <f>'11.F&amp;V Crop Production details'!E89</f>
        <v>0</v>
      </c>
      <c r="F28" s="87" t="str">
        <f>'11.F&amp;V Crop Production details'!F89</f>
        <v>0</v>
      </c>
      <c r="G28" s="87" t="str">
        <f>'11.F&amp;V Crop Production details'!G89</f>
        <v>0</v>
      </c>
      <c r="H28" s="87" t="str">
        <f>'11.F&amp;V Crop Production details'!H89</f>
        <v>0</v>
      </c>
    </row>
    <row r="29">
      <c r="A29" s="87" t="str">
        <f>'11.F&amp;V Crop Production details'!A90</f>
        <v/>
      </c>
      <c r="B29" s="87" t="str">
        <f>'11.F&amp;V Crop Production details'!B90</f>
        <v>0</v>
      </c>
      <c r="C29" s="87" t="str">
        <f>'11.F&amp;V Crop Production details'!C90</f>
        <v>0</v>
      </c>
      <c r="D29" s="87" t="str">
        <f>'11.F&amp;V Crop Production details'!D90</f>
        <v>0</v>
      </c>
      <c r="E29" s="87" t="str">
        <f>'11.F&amp;V Crop Production details'!E90</f>
        <v>0</v>
      </c>
      <c r="F29" s="87" t="str">
        <f>'11.F&amp;V Crop Production details'!F90</f>
        <v>0</v>
      </c>
      <c r="G29" s="87" t="str">
        <f>'11.F&amp;V Crop Production details'!G90</f>
        <v>0</v>
      </c>
      <c r="H29" s="87" t="str">
        <f>'11.F&amp;V Crop Production details'!H90</f>
        <v>0</v>
      </c>
    </row>
    <row r="30">
      <c r="A30" s="87" t="str">
        <f>'11.F&amp;V Crop Production details'!A91</f>
        <v/>
      </c>
      <c r="B30" s="87" t="str">
        <f>'11.F&amp;V Crop Production details'!B91</f>
        <v>0</v>
      </c>
      <c r="C30" s="87" t="str">
        <f>'11.F&amp;V Crop Production details'!C91</f>
        <v>0</v>
      </c>
      <c r="D30" s="87" t="str">
        <f>'11.F&amp;V Crop Production details'!D91</f>
        <v>0</v>
      </c>
      <c r="E30" s="87" t="str">
        <f>'11.F&amp;V Crop Production details'!E91</f>
        <v>0</v>
      </c>
      <c r="F30" s="87" t="str">
        <f>'11.F&amp;V Crop Production details'!F91</f>
        <v>0</v>
      </c>
      <c r="G30" s="87" t="str">
        <f>'11.F&amp;V Crop Production details'!G91</f>
        <v>0</v>
      </c>
      <c r="H30" s="87" t="str">
        <f>'11.F&amp;V Crop Production details'!H91</f>
        <v>0</v>
      </c>
    </row>
    <row r="31">
      <c r="A31" s="87" t="str">
        <f>'11.F&amp;V Crop Production details'!A92</f>
        <v/>
      </c>
      <c r="B31" s="87" t="str">
        <f>'11.F&amp;V Crop Production details'!B92</f>
        <v>0</v>
      </c>
      <c r="C31" s="87" t="str">
        <f>'11.F&amp;V Crop Production details'!C92</f>
        <v>0</v>
      </c>
      <c r="D31" s="87" t="str">
        <f>'11.F&amp;V Crop Production details'!D92</f>
        <v>0</v>
      </c>
      <c r="E31" s="87" t="str">
        <f>'11.F&amp;V Crop Production details'!E92</f>
        <v>0</v>
      </c>
      <c r="F31" s="87" t="str">
        <f>'11.F&amp;V Crop Production details'!F92</f>
        <v>0</v>
      </c>
      <c r="G31" s="87" t="str">
        <f>'11.F&amp;V Crop Production details'!G92</f>
        <v>0</v>
      </c>
      <c r="H31" s="87" t="str">
        <f>'11.F&amp;V Crop Production details'!H92</f>
        <v/>
      </c>
    </row>
    <row r="32">
      <c r="A32" s="87" t="str">
        <f>'11.F&amp;V Crop Production details'!A93</f>
        <v/>
      </c>
      <c r="B32" s="87" t="str">
        <f>'11.F&amp;V Crop Production details'!B93</f>
        <v>0</v>
      </c>
      <c r="C32" s="87" t="str">
        <f>'11.F&amp;V Crop Production details'!C93</f>
        <v>0</v>
      </c>
      <c r="D32" s="87" t="str">
        <f>'11.F&amp;V Crop Production details'!D93</f>
        <v>0</v>
      </c>
      <c r="E32" s="87" t="str">
        <f>'11.F&amp;V Crop Production details'!E93</f>
        <v>0</v>
      </c>
      <c r="F32" s="87" t="str">
        <f>'11.F&amp;V Crop Production details'!F93</f>
        <v>0</v>
      </c>
      <c r="G32" s="87" t="str">
        <f>'11.F&amp;V Crop Production details'!G93</f>
        <v>0</v>
      </c>
      <c r="H32" s="87" t="str">
        <f>'11.F&amp;V Crop Production details'!H93</f>
        <v/>
      </c>
    </row>
    <row r="33">
      <c r="A33" s="87" t="str">
        <f>'11.F&amp;V Crop Production details'!A94</f>
        <v/>
      </c>
      <c r="B33" s="87" t="str">
        <f>'11.F&amp;V Crop Production details'!B94</f>
        <v>0</v>
      </c>
      <c r="C33" s="87" t="str">
        <f>'11.F&amp;V Crop Production details'!C94</f>
        <v>0</v>
      </c>
      <c r="D33" s="87" t="str">
        <f>'11.F&amp;V Crop Production details'!D94</f>
        <v>0</v>
      </c>
      <c r="E33" s="87" t="str">
        <f>'11.F&amp;V Crop Production details'!E94</f>
        <v>0</v>
      </c>
      <c r="F33" s="87" t="str">
        <f>'11.F&amp;V Crop Production details'!F94</f>
        <v>0</v>
      </c>
      <c r="G33" s="87" t="str">
        <f>'11.F&amp;V Crop Production details'!G94</f>
        <v>0</v>
      </c>
      <c r="H33" s="87" t="str">
        <f>'11.F&amp;V Crop Production details'!H94</f>
        <v/>
      </c>
    </row>
    <row r="34">
      <c r="A34" s="87" t="str">
        <f>'11.F&amp;V Crop Production details'!A95</f>
        <v>Pomegranate</v>
      </c>
      <c r="B34" s="87" t="str">
        <f>'11.F&amp;V Crop Production details'!B95</f>
        <v>0</v>
      </c>
      <c r="C34" s="87" t="str">
        <f>'11.F&amp;V Crop Production details'!C95</f>
        <v>0</v>
      </c>
      <c r="D34" s="87" t="str">
        <f>'11.F&amp;V Crop Production details'!D95</f>
        <v>0</v>
      </c>
      <c r="E34" s="87" t="str">
        <f>'11.F&amp;V Crop Production details'!E95</f>
        <v>0</v>
      </c>
      <c r="F34" s="87" t="str">
        <f>'11.F&amp;V Crop Production details'!F95</f>
        <v>0</v>
      </c>
      <c r="G34" s="87" t="str">
        <f>'11.F&amp;V Crop Production details'!G95</f>
        <v>0</v>
      </c>
      <c r="H34" s="87" t="str">
        <f>'11.F&amp;V Crop Production details'!H95</f>
        <v>0</v>
      </c>
    </row>
    <row r="35">
      <c r="A35" s="87" t="str">
        <f>'11.F&amp;V Crop Production details'!A96</f>
        <v>Custard Apple</v>
      </c>
      <c r="B35" s="87" t="str">
        <f>'11.F&amp;V Crop Production details'!B96</f>
        <v>0</v>
      </c>
      <c r="C35" s="87" t="str">
        <f>'11.F&amp;V Crop Production details'!C96</f>
        <v>0</v>
      </c>
      <c r="D35" s="87" t="str">
        <f>'11.F&amp;V Crop Production details'!D96</f>
        <v>0</v>
      </c>
      <c r="E35" s="87" t="str">
        <f>'11.F&amp;V Crop Production details'!E96</f>
        <v>0</v>
      </c>
      <c r="F35" s="87" t="str">
        <f>'11.F&amp;V Crop Production details'!F96</f>
        <v>0</v>
      </c>
      <c r="G35" s="87" t="str">
        <f>'11.F&amp;V Crop Production details'!G96</f>
        <v>0</v>
      </c>
      <c r="H35" s="87" t="str">
        <f>'11.F&amp;V Crop Production details'!H96</f>
        <v>0</v>
      </c>
    </row>
    <row r="36">
      <c r="A36" s="87" t="str">
        <f>'11.F&amp;V Crop Production details'!A97</f>
        <v>Guava</v>
      </c>
      <c r="B36" s="87" t="str">
        <f>'11.F&amp;V Crop Production details'!B97</f>
        <v>0</v>
      </c>
      <c r="C36" s="87" t="str">
        <f>'11.F&amp;V Crop Production details'!C97</f>
        <v>0</v>
      </c>
      <c r="D36" s="87" t="str">
        <f>'11.F&amp;V Crop Production details'!D97</f>
        <v>0</v>
      </c>
      <c r="E36" s="87" t="str">
        <f>'11.F&amp;V Crop Production details'!E97</f>
        <v>0</v>
      </c>
      <c r="F36" s="87" t="str">
        <f>'11.F&amp;V Crop Production details'!F97</f>
        <v>0</v>
      </c>
      <c r="G36" s="87" t="str">
        <f>'11.F&amp;V Crop Production details'!G97</f>
        <v>0</v>
      </c>
      <c r="H36" s="87" t="str">
        <f>'11.F&amp;V Crop Production details'!H97</f>
        <v>0</v>
      </c>
    </row>
    <row r="37">
      <c r="A37" s="87" t="str">
        <f>'11.F&amp;V Crop Production details'!A98</f>
        <v>Citrus</v>
      </c>
      <c r="B37" s="87" t="str">
        <f>'11.F&amp;V Crop Production details'!B98</f>
        <v>0</v>
      </c>
      <c r="C37" s="87" t="str">
        <f>'11.F&amp;V Crop Production details'!C98</f>
        <v>0</v>
      </c>
      <c r="D37" s="87" t="str">
        <f>'11.F&amp;V Crop Production details'!D98</f>
        <v>0</v>
      </c>
      <c r="E37" s="87" t="str">
        <f>'11.F&amp;V Crop Production details'!E98</f>
        <v>0</v>
      </c>
      <c r="F37" s="87" t="str">
        <f>'11.F&amp;V Crop Production details'!F98</f>
        <v>0</v>
      </c>
      <c r="G37" s="87" t="str">
        <f>'11.F&amp;V Crop Production details'!G98</f>
        <v>0</v>
      </c>
      <c r="H37" s="87" t="str">
        <f>'11.F&amp;V Crop Production details'!H98</f>
        <v>0</v>
      </c>
    </row>
    <row r="38">
      <c r="A38" s="87"/>
      <c r="B38" s="87"/>
      <c r="C38" s="87"/>
      <c r="D38" s="87"/>
      <c r="E38" s="87"/>
      <c r="F38" s="87"/>
      <c r="G38" s="87"/>
      <c r="H38" s="87"/>
    </row>
    <row r="39">
      <c r="A39" s="87" t="s">
        <v>643</v>
      </c>
      <c r="B39" s="87" t="str">
        <f t="shared" ref="B39:H39" si="2">SUM(B13:B37)</f>
        <v>0</v>
      </c>
      <c r="C39" s="87" t="str">
        <f t="shared" si="2"/>
        <v>0</v>
      </c>
      <c r="D39" s="87" t="str">
        <f t="shared" si="2"/>
        <v>0</v>
      </c>
      <c r="E39" s="87" t="str">
        <f t="shared" si="2"/>
        <v>0</v>
      </c>
      <c r="F39" s="87" t="str">
        <f t="shared" si="2"/>
        <v>0</v>
      </c>
      <c r="G39" s="87" t="str">
        <f t="shared" si="2"/>
        <v>0</v>
      </c>
      <c r="H39" s="87" t="str">
        <f t="shared" si="2"/>
        <v>0</v>
      </c>
    </row>
    <row r="40">
      <c r="A40" s="369" t="s">
        <v>616</v>
      </c>
      <c r="B40" s="370">
        <v>0.0</v>
      </c>
      <c r="C40" s="370" t="str">
        <f t="shared" ref="C40:H40" si="3">B40</f>
        <v>0%</v>
      </c>
      <c r="D40" s="370" t="str">
        <f t="shared" si="3"/>
        <v>0%</v>
      </c>
      <c r="E40" s="370" t="str">
        <f t="shared" si="3"/>
        <v>0%</v>
      </c>
      <c r="F40" s="370" t="str">
        <f t="shared" si="3"/>
        <v>0%</v>
      </c>
      <c r="G40" s="370" t="str">
        <f t="shared" si="3"/>
        <v>0%</v>
      </c>
      <c r="H40" s="370" t="str">
        <f t="shared" si="3"/>
        <v>0%</v>
      </c>
    </row>
    <row r="41">
      <c r="A41" s="87" t="s">
        <v>727</v>
      </c>
      <c r="B41" s="92" t="str">
        <f t="shared" ref="B41:H41" si="4">1-B40</f>
        <v>100%</v>
      </c>
      <c r="C41" s="92" t="str">
        <f t="shared" si="4"/>
        <v>100%</v>
      </c>
      <c r="D41" s="92" t="str">
        <f t="shared" si="4"/>
        <v>100%</v>
      </c>
      <c r="E41" s="92" t="str">
        <f t="shared" si="4"/>
        <v>100%</v>
      </c>
      <c r="F41" s="92" t="str">
        <f t="shared" si="4"/>
        <v>100%</v>
      </c>
      <c r="G41" s="92" t="str">
        <f t="shared" si="4"/>
        <v>100%</v>
      </c>
      <c r="H41" s="92" t="str">
        <f t="shared" si="4"/>
        <v>100%</v>
      </c>
    </row>
    <row r="42">
      <c r="A42" s="90" t="s">
        <v>616</v>
      </c>
      <c r="B42" s="395" t="str">
        <f t="shared" ref="B42:H42" si="5">B39*B40</f>
        <v>  -   </v>
      </c>
      <c r="C42" s="395" t="str">
        <f t="shared" si="5"/>
        <v>  -   </v>
      </c>
      <c r="D42" s="395" t="str">
        <f t="shared" si="5"/>
        <v>  -   </v>
      </c>
      <c r="E42" s="395" t="str">
        <f t="shared" si="5"/>
        <v>  -   </v>
      </c>
      <c r="F42" s="395" t="str">
        <f t="shared" si="5"/>
        <v>  -   </v>
      </c>
      <c r="G42" s="395" t="str">
        <f t="shared" si="5"/>
        <v>  -   </v>
      </c>
      <c r="H42" s="395" t="str">
        <f t="shared" si="5"/>
        <v>  -   </v>
      </c>
    </row>
    <row r="43">
      <c r="A43" s="90" t="s">
        <v>617</v>
      </c>
      <c r="B43" s="91"/>
      <c r="C43" s="91"/>
      <c r="D43" s="91"/>
      <c r="E43" s="91"/>
      <c r="F43" s="91"/>
      <c r="G43" s="91"/>
      <c r="H43" s="91"/>
    </row>
    <row r="44">
      <c r="A44" s="87" t="str">
        <f t="shared" ref="A44:A61" si="6">A13</f>
        <v>Onion</v>
      </c>
      <c r="B44" s="88" t="str">
        <f t="shared" ref="B44:B61" si="7">B13*$B$41</f>
        <v>  -   </v>
      </c>
      <c r="C44" s="88" t="str">
        <f t="shared" ref="C44:C61" si="8">C13*$C$41</f>
        <v>  -   </v>
      </c>
      <c r="D44" s="88" t="str">
        <f t="shared" ref="D44:D61" si="9">D13*$D$41</f>
        <v>  -   </v>
      </c>
      <c r="E44" s="88" t="str">
        <f t="shared" ref="E44:E61" si="10">E13*$E$41</f>
        <v>  -   </v>
      </c>
      <c r="F44" s="88" t="str">
        <f t="shared" ref="F44:F61" si="11">F13*$F$41</f>
        <v>  -   </v>
      </c>
      <c r="G44" s="88" t="str">
        <f t="shared" ref="G44:G61" si="12">G13*$G$41</f>
        <v>  -   </v>
      </c>
      <c r="H44" s="88" t="str">
        <f t="shared" ref="H44:H61" si="13">H13*$H$41</f>
        <v>  -   </v>
      </c>
    </row>
    <row r="45">
      <c r="A45" s="87" t="str">
        <f t="shared" si="6"/>
        <v>Tomato</v>
      </c>
      <c r="B45" s="88" t="str">
        <f t="shared" si="7"/>
        <v>  -   </v>
      </c>
      <c r="C45" s="88" t="str">
        <f t="shared" si="8"/>
        <v>  -   </v>
      </c>
      <c r="D45" s="88" t="str">
        <f t="shared" si="9"/>
        <v>  -   </v>
      </c>
      <c r="E45" s="88" t="str">
        <f t="shared" si="10"/>
        <v>  -   </v>
      </c>
      <c r="F45" s="88" t="str">
        <f t="shared" si="11"/>
        <v>  -   </v>
      </c>
      <c r="G45" s="88" t="str">
        <f t="shared" si="12"/>
        <v>  -   </v>
      </c>
      <c r="H45" s="88" t="str">
        <f t="shared" si="13"/>
        <v>  -   </v>
      </c>
    </row>
    <row r="46">
      <c r="A46" s="87" t="str">
        <f t="shared" si="6"/>
        <v>Okra</v>
      </c>
      <c r="B46" s="88" t="str">
        <f t="shared" si="7"/>
        <v>  -   </v>
      </c>
      <c r="C46" s="88" t="str">
        <f t="shared" si="8"/>
        <v>  -   </v>
      </c>
      <c r="D46" s="88" t="str">
        <f t="shared" si="9"/>
        <v>  -   </v>
      </c>
      <c r="E46" s="88" t="str">
        <f t="shared" si="10"/>
        <v>  -   </v>
      </c>
      <c r="F46" s="88" t="str">
        <f t="shared" si="11"/>
        <v>  -   </v>
      </c>
      <c r="G46" s="88" t="str">
        <f t="shared" si="12"/>
        <v>  -   </v>
      </c>
      <c r="H46" s="88" t="str">
        <f t="shared" si="13"/>
        <v>  -   </v>
      </c>
    </row>
    <row r="47">
      <c r="A47" s="87" t="str">
        <f t="shared" si="6"/>
        <v>Chilli</v>
      </c>
      <c r="B47" s="88" t="str">
        <f t="shared" si="7"/>
        <v>  -   </v>
      </c>
      <c r="C47" s="88" t="str">
        <f t="shared" si="8"/>
        <v>  -   </v>
      </c>
      <c r="D47" s="88" t="str">
        <f t="shared" si="9"/>
        <v>  -   </v>
      </c>
      <c r="E47" s="88" t="str">
        <f t="shared" si="10"/>
        <v>  -   </v>
      </c>
      <c r="F47" s="88" t="str">
        <f t="shared" si="11"/>
        <v>  -   </v>
      </c>
      <c r="G47" s="88" t="str">
        <f t="shared" si="12"/>
        <v>  -   </v>
      </c>
      <c r="H47" s="88" t="str">
        <f t="shared" si="13"/>
        <v>  -   </v>
      </c>
    </row>
    <row r="48">
      <c r="A48" s="87" t="str">
        <f t="shared" si="6"/>
        <v>Potato</v>
      </c>
      <c r="B48" s="88" t="str">
        <f t="shared" si="7"/>
        <v>  -   </v>
      </c>
      <c r="C48" s="88" t="str">
        <f t="shared" si="8"/>
        <v>  -   </v>
      </c>
      <c r="D48" s="88" t="str">
        <f t="shared" si="9"/>
        <v>  -   </v>
      </c>
      <c r="E48" s="88" t="str">
        <f t="shared" si="10"/>
        <v>  -   </v>
      </c>
      <c r="F48" s="88" t="str">
        <f t="shared" si="11"/>
        <v>  -   </v>
      </c>
      <c r="G48" s="88" t="str">
        <f t="shared" si="12"/>
        <v>  -   </v>
      </c>
      <c r="H48" s="88" t="str">
        <f t="shared" si="13"/>
        <v>  -   </v>
      </c>
    </row>
    <row r="49">
      <c r="A49" s="87" t="str">
        <f t="shared" si="6"/>
        <v/>
      </c>
      <c r="B49" s="88" t="str">
        <f t="shared" si="7"/>
        <v>  -   </v>
      </c>
      <c r="C49" s="88" t="str">
        <f t="shared" si="8"/>
        <v>  -   </v>
      </c>
      <c r="D49" s="88" t="str">
        <f t="shared" si="9"/>
        <v>  -   </v>
      </c>
      <c r="E49" s="88" t="str">
        <f t="shared" si="10"/>
        <v>  -   </v>
      </c>
      <c r="F49" s="88" t="str">
        <f t="shared" si="11"/>
        <v>  -   </v>
      </c>
      <c r="G49" s="88" t="str">
        <f t="shared" si="12"/>
        <v>  -   </v>
      </c>
      <c r="H49" s="88" t="str">
        <f t="shared" si="13"/>
        <v>  -   </v>
      </c>
    </row>
    <row r="50">
      <c r="A50" s="87" t="str">
        <f t="shared" si="6"/>
        <v/>
      </c>
      <c r="B50" s="88" t="str">
        <f t="shared" si="7"/>
        <v>  -   </v>
      </c>
      <c r="C50" s="88" t="str">
        <f t="shared" si="8"/>
        <v>  -   </v>
      </c>
      <c r="D50" s="88" t="str">
        <f t="shared" si="9"/>
        <v>  -   </v>
      </c>
      <c r="E50" s="88" t="str">
        <f t="shared" si="10"/>
        <v>  -   </v>
      </c>
      <c r="F50" s="88" t="str">
        <f t="shared" si="11"/>
        <v>  -   </v>
      </c>
      <c r="G50" s="88" t="str">
        <f t="shared" si="12"/>
        <v>  -   </v>
      </c>
      <c r="H50" s="88" t="str">
        <f t="shared" si="13"/>
        <v>  -   </v>
      </c>
    </row>
    <row r="51">
      <c r="A51" s="87" t="str">
        <f t="shared" si="6"/>
        <v/>
      </c>
      <c r="B51" s="88" t="str">
        <f t="shared" si="7"/>
        <v>  -   </v>
      </c>
      <c r="C51" s="88" t="str">
        <f t="shared" si="8"/>
        <v>  -   </v>
      </c>
      <c r="D51" s="88" t="str">
        <f t="shared" si="9"/>
        <v>  -   </v>
      </c>
      <c r="E51" s="88" t="str">
        <f t="shared" si="10"/>
        <v>  -   </v>
      </c>
      <c r="F51" s="88" t="str">
        <f t="shared" si="11"/>
        <v>  -   </v>
      </c>
      <c r="G51" s="88" t="str">
        <f t="shared" si="12"/>
        <v>  -   </v>
      </c>
      <c r="H51" s="88" t="str">
        <f t="shared" si="13"/>
        <v>  -   </v>
      </c>
    </row>
    <row r="52">
      <c r="A52" s="87" t="str">
        <f t="shared" si="6"/>
        <v/>
      </c>
      <c r="B52" s="88" t="str">
        <f t="shared" si="7"/>
        <v>  -   </v>
      </c>
      <c r="C52" s="88" t="str">
        <f t="shared" si="8"/>
        <v>  -   </v>
      </c>
      <c r="D52" s="88" t="str">
        <f t="shared" si="9"/>
        <v>  -   </v>
      </c>
      <c r="E52" s="88" t="str">
        <f t="shared" si="10"/>
        <v>  -   </v>
      </c>
      <c r="F52" s="88" t="str">
        <f t="shared" si="11"/>
        <v>  -   </v>
      </c>
      <c r="G52" s="88" t="str">
        <f t="shared" si="12"/>
        <v>  -   </v>
      </c>
      <c r="H52" s="88" t="str">
        <f t="shared" si="13"/>
        <v>  -   </v>
      </c>
    </row>
    <row r="53">
      <c r="A53" s="87" t="str">
        <f t="shared" si="6"/>
        <v>Onion</v>
      </c>
      <c r="B53" s="88" t="str">
        <f t="shared" si="7"/>
        <v>  -   </v>
      </c>
      <c r="C53" s="88" t="str">
        <f t="shared" si="8"/>
        <v>  -   </v>
      </c>
      <c r="D53" s="88" t="str">
        <f t="shared" si="9"/>
        <v>  -   </v>
      </c>
      <c r="E53" s="88" t="str">
        <f t="shared" si="10"/>
        <v>  -   </v>
      </c>
      <c r="F53" s="88" t="str">
        <f t="shared" si="11"/>
        <v>  -   </v>
      </c>
      <c r="G53" s="88" t="str">
        <f t="shared" si="12"/>
        <v>  -   </v>
      </c>
      <c r="H53" s="88" t="str">
        <f t="shared" si="13"/>
        <v>  -   </v>
      </c>
    </row>
    <row r="54">
      <c r="A54" s="87" t="str">
        <f t="shared" si="6"/>
        <v>Tomato</v>
      </c>
      <c r="B54" s="88" t="str">
        <f t="shared" si="7"/>
        <v>  -   </v>
      </c>
      <c r="C54" s="88" t="str">
        <f t="shared" si="8"/>
        <v>  -   </v>
      </c>
      <c r="D54" s="88" t="str">
        <f t="shared" si="9"/>
        <v>  -   </v>
      </c>
      <c r="E54" s="88" t="str">
        <f t="shared" si="10"/>
        <v>  -   </v>
      </c>
      <c r="F54" s="88" t="str">
        <f t="shared" si="11"/>
        <v>  -   </v>
      </c>
      <c r="G54" s="88" t="str">
        <f t="shared" si="12"/>
        <v>  -   </v>
      </c>
      <c r="H54" s="88" t="str">
        <f t="shared" si="13"/>
        <v>  -   </v>
      </c>
    </row>
    <row r="55">
      <c r="A55" s="87" t="str">
        <f t="shared" si="6"/>
        <v>Okra</v>
      </c>
      <c r="B55" s="88" t="str">
        <f t="shared" si="7"/>
        <v>  -   </v>
      </c>
      <c r="C55" s="88" t="str">
        <f t="shared" si="8"/>
        <v>  -   </v>
      </c>
      <c r="D55" s="88" t="str">
        <f t="shared" si="9"/>
        <v>  -   </v>
      </c>
      <c r="E55" s="88" t="str">
        <f t="shared" si="10"/>
        <v>  -   </v>
      </c>
      <c r="F55" s="88" t="str">
        <f t="shared" si="11"/>
        <v>  -   </v>
      </c>
      <c r="G55" s="88" t="str">
        <f t="shared" si="12"/>
        <v>  -   </v>
      </c>
      <c r="H55" s="88" t="str">
        <f t="shared" si="13"/>
        <v>  -   </v>
      </c>
    </row>
    <row r="56">
      <c r="A56" s="87" t="str">
        <f t="shared" si="6"/>
        <v>Chilli</v>
      </c>
      <c r="B56" s="88" t="str">
        <f t="shared" si="7"/>
        <v>  -   </v>
      </c>
      <c r="C56" s="88" t="str">
        <f t="shared" si="8"/>
        <v>  -   </v>
      </c>
      <c r="D56" s="88" t="str">
        <f t="shared" si="9"/>
        <v>  -   </v>
      </c>
      <c r="E56" s="88" t="str">
        <f t="shared" si="10"/>
        <v>  -   </v>
      </c>
      <c r="F56" s="88" t="str">
        <f t="shared" si="11"/>
        <v>  -   </v>
      </c>
      <c r="G56" s="88" t="str">
        <f t="shared" si="12"/>
        <v>  -   </v>
      </c>
      <c r="H56" s="88" t="str">
        <f t="shared" si="13"/>
        <v>  -   </v>
      </c>
    </row>
    <row r="57">
      <c r="A57" s="87" t="str">
        <f t="shared" si="6"/>
        <v>Brinjal</v>
      </c>
      <c r="B57" s="88" t="str">
        <f t="shared" si="7"/>
        <v>  -   </v>
      </c>
      <c r="C57" s="88" t="str">
        <f t="shared" si="8"/>
        <v>  -   </v>
      </c>
      <c r="D57" s="88" t="str">
        <f t="shared" si="9"/>
        <v>  -   </v>
      </c>
      <c r="E57" s="88" t="str">
        <f t="shared" si="10"/>
        <v>  -   </v>
      </c>
      <c r="F57" s="88" t="str">
        <f t="shared" si="11"/>
        <v>  -   </v>
      </c>
      <c r="G57" s="88" t="str">
        <f t="shared" si="12"/>
        <v>  -   </v>
      </c>
      <c r="H57" s="88" t="str">
        <f t="shared" si="13"/>
        <v>  -   </v>
      </c>
    </row>
    <row r="58">
      <c r="A58" s="87" t="str">
        <f t="shared" si="6"/>
        <v/>
      </c>
      <c r="B58" s="88" t="str">
        <f t="shared" si="7"/>
        <v>  -   </v>
      </c>
      <c r="C58" s="88" t="str">
        <f t="shared" si="8"/>
        <v>  -   </v>
      </c>
      <c r="D58" s="88" t="str">
        <f t="shared" si="9"/>
        <v>  -   </v>
      </c>
      <c r="E58" s="88" t="str">
        <f t="shared" si="10"/>
        <v>  -   </v>
      </c>
      <c r="F58" s="88" t="str">
        <f t="shared" si="11"/>
        <v>  -   </v>
      </c>
      <c r="G58" s="88" t="str">
        <f t="shared" si="12"/>
        <v>  -   </v>
      </c>
      <c r="H58" s="88" t="str">
        <f t="shared" si="13"/>
        <v>  -   </v>
      </c>
    </row>
    <row r="59">
      <c r="A59" s="87" t="str">
        <f t="shared" si="6"/>
        <v/>
      </c>
      <c r="B59" s="88" t="str">
        <f t="shared" si="7"/>
        <v>  -   </v>
      </c>
      <c r="C59" s="88" t="str">
        <f t="shared" si="8"/>
        <v>  -   </v>
      </c>
      <c r="D59" s="88" t="str">
        <f t="shared" si="9"/>
        <v>  -   </v>
      </c>
      <c r="E59" s="88" t="str">
        <f t="shared" si="10"/>
        <v>  -   </v>
      </c>
      <c r="F59" s="88" t="str">
        <f t="shared" si="11"/>
        <v>  -   </v>
      </c>
      <c r="G59" s="88" t="str">
        <f t="shared" si="12"/>
        <v>  -   </v>
      </c>
      <c r="H59" s="88" t="str">
        <f t="shared" si="13"/>
        <v>  -   </v>
      </c>
    </row>
    <row r="60">
      <c r="A60" s="87" t="str">
        <f t="shared" si="6"/>
        <v/>
      </c>
      <c r="B60" s="88" t="str">
        <f t="shared" si="7"/>
        <v>  -   </v>
      </c>
      <c r="C60" s="88" t="str">
        <f t="shared" si="8"/>
        <v>  -   </v>
      </c>
      <c r="D60" s="88" t="str">
        <f t="shared" si="9"/>
        <v>  -   </v>
      </c>
      <c r="E60" s="88" t="str">
        <f t="shared" si="10"/>
        <v>  -   </v>
      </c>
      <c r="F60" s="88" t="str">
        <f t="shared" si="11"/>
        <v>  -   </v>
      </c>
      <c r="G60" s="88" t="str">
        <f t="shared" si="12"/>
        <v>  -   </v>
      </c>
      <c r="H60" s="88" t="str">
        <f t="shared" si="13"/>
        <v>  -   </v>
      </c>
    </row>
    <row r="61">
      <c r="A61" s="87" t="str">
        <f t="shared" si="6"/>
        <v/>
      </c>
      <c r="B61" s="88" t="str">
        <f t="shared" si="7"/>
        <v>  -   </v>
      </c>
      <c r="C61" s="88" t="str">
        <f t="shared" si="8"/>
        <v>  -   </v>
      </c>
      <c r="D61" s="88" t="str">
        <f t="shared" si="9"/>
        <v>  -   </v>
      </c>
      <c r="E61" s="88" t="str">
        <f t="shared" si="10"/>
        <v>  -   </v>
      </c>
      <c r="F61" s="88" t="str">
        <f t="shared" si="11"/>
        <v>  -   </v>
      </c>
      <c r="G61" s="88" t="str">
        <f t="shared" si="12"/>
        <v>  -   </v>
      </c>
      <c r="H61" s="88" t="str">
        <f t="shared" si="13"/>
        <v>  -   </v>
      </c>
    </row>
    <row r="62">
      <c r="A62" s="87" t="str">
        <f t="shared" ref="A62:A65" si="15">A34</f>
        <v>Pomegranate</v>
      </c>
      <c r="B62" s="88" t="str">
        <f t="shared" ref="B62:H62" si="14">B34*$B$41</f>
        <v>  -   </v>
      </c>
      <c r="C62" s="88" t="str">
        <f t="shared" si="14"/>
        <v>  -   </v>
      </c>
      <c r="D62" s="88" t="str">
        <f t="shared" si="14"/>
        <v>  -   </v>
      </c>
      <c r="E62" s="88" t="str">
        <f t="shared" si="14"/>
        <v>  -   </v>
      </c>
      <c r="F62" s="88" t="str">
        <f t="shared" si="14"/>
        <v>  -   </v>
      </c>
      <c r="G62" s="88" t="str">
        <f t="shared" si="14"/>
        <v>  -   </v>
      </c>
      <c r="H62" s="88" t="str">
        <f t="shared" si="14"/>
        <v>  -   </v>
      </c>
    </row>
    <row r="63">
      <c r="A63" s="87" t="str">
        <f t="shared" si="15"/>
        <v>Custard Apple</v>
      </c>
      <c r="B63" s="88" t="str">
        <f t="shared" ref="B63:H63" si="16">B35*$B$41</f>
        <v>  -   </v>
      </c>
      <c r="C63" s="88" t="str">
        <f t="shared" si="16"/>
        <v>  -   </v>
      </c>
      <c r="D63" s="88" t="str">
        <f t="shared" si="16"/>
        <v>  -   </v>
      </c>
      <c r="E63" s="88" t="str">
        <f t="shared" si="16"/>
        <v>  -   </v>
      </c>
      <c r="F63" s="88" t="str">
        <f t="shared" si="16"/>
        <v>  -   </v>
      </c>
      <c r="G63" s="88" t="str">
        <f t="shared" si="16"/>
        <v>  -   </v>
      </c>
      <c r="H63" s="88" t="str">
        <f t="shared" si="16"/>
        <v>  -   </v>
      </c>
    </row>
    <row r="64">
      <c r="A64" s="87" t="str">
        <f t="shared" si="15"/>
        <v>Guava</v>
      </c>
      <c r="B64" s="88" t="str">
        <f t="shared" ref="B64:H64" si="17">B36*$B$41</f>
        <v>  -   </v>
      </c>
      <c r="C64" s="88" t="str">
        <f t="shared" si="17"/>
        <v>  -   </v>
      </c>
      <c r="D64" s="88" t="str">
        <f t="shared" si="17"/>
        <v>  -   </v>
      </c>
      <c r="E64" s="88" t="str">
        <f t="shared" si="17"/>
        <v>  -   </v>
      </c>
      <c r="F64" s="88" t="str">
        <f t="shared" si="17"/>
        <v>  -   </v>
      </c>
      <c r="G64" s="88" t="str">
        <f t="shared" si="17"/>
        <v>  -   </v>
      </c>
      <c r="H64" s="88" t="str">
        <f t="shared" si="17"/>
        <v>  -   </v>
      </c>
    </row>
    <row r="65">
      <c r="A65" s="87" t="str">
        <f t="shared" si="15"/>
        <v>Citrus</v>
      </c>
      <c r="B65" s="88" t="str">
        <f t="shared" ref="B65:H65" si="18">B37*$B$41</f>
        <v>  -   </v>
      </c>
      <c r="C65" s="88" t="str">
        <f t="shared" si="18"/>
        <v>  -   </v>
      </c>
      <c r="D65" s="88" t="str">
        <f t="shared" si="18"/>
        <v>  -   </v>
      </c>
      <c r="E65" s="88" t="str">
        <f t="shared" si="18"/>
        <v>  -   </v>
      </c>
      <c r="F65" s="88" t="str">
        <f t="shared" si="18"/>
        <v>  -   </v>
      </c>
      <c r="G65" s="88" t="str">
        <f t="shared" si="18"/>
        <v>  -   </v>
      </c>
      <c r="H65" s="88" t="str">
        <f t="shared" si="18"/>
        <v>  -   </v>
      </c>
    </row>
    <row r="66">
      <c r="A66" s="90" t="s">
        <v>646</v>
      </c>
      <c r="B66" s="87"/>
      <c r="C66" s="87"/>
      <c r="D66" s="87"/>
      <c r="E66" s="87"/>
      <c r="F66" s="87"/>
      <c r="G66" s="87"/>
      <c r="H66" s="87"/>
    </row>
    <row r="67">
      <c r="A67" s="87" t="str">
        <f>A44</f>
        <v>Onion</v>
      </c>
      <c r="B67" s="361"/>
      <c r="C67" s="361"/>
      <c r="D67" s="361"/>
      <c r="E67" s="361"/>
      <c r="F67" s="361"/>
      <c r="G67" s="361"/>
      <c r="H67" s="361"/>
    </row>
    <row r="68">
      <c r="A68" s="87"/>
      <c r="B68" s="361"/>
      <c r="C68" s="361"/>
      <c r="D68" s="361"/>
      <c r="E68" s="361"/>
      <c r="F68" s="361"/>
      <c r="G68" s="361"/>
      <c r="H68" s="361"/>
    </row>
    <row r="69">
      <c r="A69" s="87"/>
      <c r="B69" s="361"/>
      <c r="C69" s="361"/>
      <c r="D69" s="361"/>
      <c r="E69" s="361"/>
      <c r="F69" s="361"/>
      <c r="G69" s="361"/>
      <c r="H69" s="361"/>
    </row>
    <row r="70">
      <c r="A70" s="87"/>
      <c r="B70" s="361"/>
      <c r="C70" s="361"/>
      <c r="D70" s="361"/>
      <c r="E70" s="361"/>
      <c r="F70" s="361"/>
      <c r="G70" s="361"/>
      <c r="H70" s="361"/>
    </row>
    <row r="71">
      <c r="A71" s="87" t="str">
        <f>A45</f>
        <v>Tomato</v>
      </c>
      <c r="B71" s="88"/>
      <c r="C71" s="88"/>
      <c r="D71" s="88"/>
      <c r="E71" s="88"/>
      <c r="F71" s="88"/>
      <c r="G71" s="88"/>
      <c r="H71" s="88"/>
    </row>
    <row r="72">
      <c r="A72" s="87"/>
      <c r="B72" s="88"/>
      <c r="C72" s="88"/>
      <c r="D72" s="88"/>
      <c r="E72" s="88"/>
      <c r="F72" s="88"/>
      <c r="G72" s="88"/>
      <c r="H72" s="88"/>
    </row>
    <row r="73">
      <c r="A73" s="87"/>
      <c r="B73" s="88"/>
      <c r="C73" s="88"/>
      <c r="D73" s="88"/>
      <c r="E73" s="88"/>
      <c r="F73" s="88"/>
      <c r="G73" s="88"/>
      <c r="H73" s="88"/>
    </row>
    <row r="74">
      <c r="A74" s="87"/>
      <c r="B74" s="88"/>
      <c r="C74" s="88"/>
      <c r="D74" s="88"/>
      <c r="E74" s="88"/>
      <c r="F74" s="88"/>
      <c r="G74" s="88"/>
      <c r="H74" s="88"/>
    </row>
    <row r="75">
      <c r="A75" s="87" t="str">
        <f>A46</f>
        <v>Okra</v>
      </c>
      <c r="B75" s="88"/>
      <c r="C75" s="88"/>
      <c r="D75" s="88"/>
      <c r="E75" s="88"/>
      <c r="F75" s="88"/>
      <c r="G75" s="88"/>
      <c r="H75" s="88"/>
    </row>
    <row r="76">
      <c r="A76" s="87"/>
      <c r="B76" s="88"/>
      <c r="C76" s="88"/>
      <c r="D76" s="88"/>
      <c r="E76" s="88"/>
      <c r="F76" s="88"/>
      <c r="G76" s="88"/>
      <c r="H76" s="88"/>
    </row>
    <row r="77">
      <c r="A77" s="87"/>
      <c r="B77" s="88"/>
      <c r="C77" s="88"/>
      <c r="D77" s="88"/>
      <c r="E77" s="88"/>
      <c r="F77" s="88"/>
      <c r="G77" s="88"/>
      <c r="H77" s="88"/>
    </row>
    <row r="78">
      <c r="A78" s="87"/>
      <c r="B78" s="88"/>
      <c r="C78" s="88"/>
      <c r="D78" s="88"/>
      <c r="E78" s="88"/>
      <c r="F78" s="88"/>
      <c r="G78" s="88"/>
      <c r="H78" s="88"/>
    </row>
    <row r="79">
      <c r="A79" s="87" t="str">
        <f>A47</f>
        <v>Chilli</v>
      </c>
      <c r="B79" s="88"/>
      <c r="C79" s="88"/>
      <c r="D79" s="88"/>
      <c r="E79" s="88"/>
      <c r="F79" s="88"/>
      <c r="G79" s="88"/>
      <c r="H79" s="88"/>
    </row>
    <row r="80">
      <c r="A80" s="87"/>
      <c r="B80" s="88"/>
      <c r="C80" s="88"/>
      <c r="D80" s="88"/>
      <c r="E80" s="88"/>
      <c r="F80" s="88"/>
      <c r="G80" s="88"/>
      <c r="H80" s="88"/>
    </row>
    <row r="81">
      <c r="A81" s="87"/>
      <c r="B81" s="88"/>
      <c r="C81" s="88"/>
      <c r="D81" s="88"/>
      <c r="E81" s="88"/>
      <c r="F81" s="88"/>
      <c r="G81" s="88"/>
      <c r="H81" s="88"/>
    </row>
    <row r="82">
      <c r="A82" s="87"/>
      <c r="B82" s="88"/>
      <c r="C82" s="88"/>
      <c r="D82" s="88"/>
      <c r="E82" s="88"/>
      <c r="F82" s="88"/>
      <c r="G82" s="88"/>
      <c r="H82" s="88"/>
    </row>
    <row r="83">
      <c r="A83" s="87" t="str">
        <f>A48</f>
        <v>Potato</v>
      </c>
      <c r="B83" s="88"/>
      <c r="C83" s="88"/>
      <c r="D83" s="88"/>
      <c r="E83" s="88"/>
      <c r="F83" s="88"/>
      <c r="G83" s="88"/>
      <c r="H83" s="88"/>
    </row>
    <row r="84">
      <c r="A84" s="87"/>
      <c r="B84" s="88"/>
      <c r="C84" s="88"/>
      <c r="D84" s="88"/>
      <c r="E84" s="88"/>
      <c r="F84" s="88"/>
      <c r="G84" s="88"/>
      <c r="H84" s="88"/>
    </row>
    <row r="85">
      <c r="A85" s="87"/>
      <c r="B85" s="88"/>
      <c r="C85" s="88"/>
      <c r="D85" s="88"/>
      <c r="E85" s="88"/>
      <c r="F85" s="88"/>
      <c r="G85" s="88"/>
      <c r="H85" s="88"/>
    </row>
    <row r="86">
      <c r="A86" s="87"/>
      <c r="B86" s="88"/>
      <c r="C86" s="88"/>
      <c r="D86" s="88"/>
      <c r="E86" s="88"/>
      <c r="F86" s="88"/>
      <c r="G86" s="88"/>
      <c r="H86" s="88"/>
    </row>
    <row r="87">
      <c r="A87" s="87" t="str">
        <f>A49</f>
        <v/>
      </c>
      <c r="B87" s="88"/>
      <c r="C87" s="88"/>
      <c r="D87" s="88"/>
      <c r="E87" s="88"/>
      <c r="F87" s="88"/>
      <c r="G87" s="88"/>
      <c r="H87" s="88"/>
    </row>
    <row r="88">
      <c r="A88" s="87"/>
      <c r="B88" s="88"/>
      <c r="C88" s="88"/>
      <c r="D88" s="88"/>
      <c r="E88" s="88"/>
      <c r="F88" s="88"/>
      <c r="G88" s="88"/>
      <c r="H88" s="88"/>
    </row>
    <row r="89">
      <c r="A89" s="87"/>
      <c r="B89" s="88"/>
      <c r="C89" s="88"/>
      <c r="D89" s="88"/>
      <c r="E89" s="88"/>
      <c r="F89" s="88"/>
      <c r="G89" s="88"/>
      <c r="H89" s="88"/>
    </row>
    <row r="90">
      <c r="A90" s="87"/>
      <c r="B90" s="88"/>
      <c r="C90" s="88"/>
      <c r="D90" s="88"/>
      <c r="E90" s="88"/>
      <c r="F90" s="88"/>
      <c r="G90" s="88"/>
      <c r="H90" s="88"/>
    </row>
    <row r="91">
      <c r="A91" s="87" t="str">
        <f>A50</f>
        <v/>
      </c>
      <c r="B91" s="88"/>
      <c r="C91" s="88"/>
      <c r="D91" s="88"/>
      <c r="E91" s="88"/>
      <c r="F91" s="88"/>
      <c r="G91" s="88"/>
      <c r="H91" s="88"/>
    </row>
    <row r="92">
      <c r="A92" s="87"/>
      <c r="B92" s="88"/>
      <c r="C92" s="88"/>
      <c r="D92" s="88"/>
      <c r="E92" s="88"/>
      <c r="F92" s="88"/>
      <c r="G92" s="88"/>
      <c r="H92" s="88"/>
    </row>
    <row r="93">
      <c r="A93" s="87"/>
      <c r="B93" s="88"/>
      <c r="C93" s="88"/>
      <c r="D93" s="88"/>
      <c r="E93" s="88"/>
      <c r="F93" s="88"/>
      <c r="G93" s="88"/>
      <c r="H93" s="88"/>
    </row>
    <row r="94">
      <c r="A94" s="87" t="str">
        <f>A51</f>
        <v/>
      </c>
      <c r="B94" s="88"/>
      <c r="C94" s="88"/>
      <c r="D94" s="88"/>
      <c r="E94" s="88"/>
      <c r="F94" s="88"/>
      <c r="G94" s="88"/>
      <c r="H94" s="88"/>
    </row>
    <row r="95">
      <c r="A95" s="87"/>
      <c r="B95" s="88"/>
      <c r="C95" s="88"/>
      <c r="D95" s="88"/>
      <c r="E95" s="88"/>
      <c r="F95" s="88"/>
      <c r="G95" s="88"/>
      <c r="H95" s="88"/>
    </row>
    <row r="96">
      <c r="A96" s="87"/>
      <c r="B96" s="88"/>
      <c r="C96" s="88"/>
      <c r="D96" s="88"/>
      <c r="E96" s="88"/>
      <c r="F96" s="88"/>
      <c r="G96" s="88"/>
      <c r="H96" s="88"/>
    </row>
    <row r="97">
      <c r="A97" s="87"/>
      <c r="B97" s="88"/>
      <c r="C97" s="88"/>
      <c r="D97" s="88"/>
      <c r="E97" s="88"/>
      <c r="F97" s="88"/>
      <c r="G97" s="88"/>
      <c r="H97" s="88"/>
    </row>
    <row r="98">
      <c r="A98" s="87" t="str">
        <f>A52</f>
        <v/>
      </c>
      <c r="B98" s="88"/>
      <c r="C98" s="88"/>
      <c r="D98" s="88"/>
      <c r="E98" s="88"/>
      <c r="F98" s="88"/>
      <c r="G98" s="88"/>
      <c r="H98" s="88"/>
    </row>
    <row r="99">
      <c r="A99" s="87"/>
      <c r="B99" s="88"/>
      <c r="C99" s="88"/>
      <c r="D99" s="88"/>
      <c r="E99" s="88"/>
      <c r="F99" s="88"/>
      <c r="G99" s="88"/>
      <c r="H99" s="88"/>
    </row>
    <row r="100">
      <c r="A100" s="87"/>
      <c r="B100" s="88"/>
      <c r="C100" s="88"/>
      <c r="D100" s="88"/>
      <c r="E100" s="88"/>
      <c r="F100" s="88"/>
      <c r="G100" s="88"/>
      <c r="H100" s="88"/>
    </row>
    <row r="101">
      <c r="A101" s="87"/>
      <c r="B101" s="88"/>
      <c r="C101" s="88"/>
      <c r="D101" s="88"/>
      <c r="E101" s="88"/>
      <c r="F101" s="88"/>
      <c r="G101" s="88"/>
      <c r="H101" s="88"/>
    </row>
    <row r="102">
      <c r="A102" s="87" t="str">
        <f>A53</f>
        <v>Onion</v>
      </c>
      <c r="B102" s="88"/>
      <c r="C102" s="88"/>
      <c r="D102" s="88"/>
      <c r="E102" s="88"/>
      <c r="F102" s="88"/>
      <c r="G102" s="88"/>
      <c r="H102" s="88"/>
    </row>
    <row r="103">
      <c r="A103" s="87"/>
      <c r="B103" s="88"/>
      <c r="C103" s="88"/>
      <c r="D103" s="88"/>
      <c r="E103" s="88"/>
      <c r="F103" s="88"/>
      <c r="G103" s="88"/>
      <c r="H103" s="88"/>
    </row>
    <row r="104">
      <c r="A104" s="87"/>
      <c r="B104" s="88"/>
      <c r="C104" s="88"/>
      <c r="D104" s="88"/>
      <c r="E104" s="88"/>
      <c r="F104" s="88"/>
      <c r="G104" s="88"/>
      <c r="H104" s="88"/>
    </row>
    <row r="105">
      <c r="A105" s="87"/>
      <c r="B105" s="88"/>
      <c r="C105" s="88"/>
      <c r="D105" s="88"/>
      <c r="E105" s="88"/>
      <c r="F105" s="88"/>
      <c r="G105" s="88"/>
      <c r="H105" s="88"/>
    </row>
    <row r="106">
      <c r="A106" s="87" t="str">
        <f>A54</f>
        <v>Tomato</v>
      </c>
      <c r="B106" s="88"/>
      <c r="C106" s="88"/>
      <c r="D106" s="88"/>
      <c r="E106" s="88"/>
      <c r="F106" s="88"/>
      <c r="G106" s="88"/>
      <c r="H106" s="88"/>
    </row>
    <row r="107">
      <c r="A107" s="87"/>
      <c r="B107" s="88"/>
      <c r="C107" s="88"/>
      <c r="D107" s="88"/>
      <c r="E107" s="88"/>
      <c r="F107" s="88"/>
      <c r="G107" s="88"/>
      <c r="H107" s="88"/>
    </row>
    <row r="108">
      <c r="A108" s="87"/>
      <c r="B108" s="88"/>
      <c r="C108" s="88"/>
      <c r="D108" s="88"/>
      <c r="E108" s="88"/>
      <c r="F108" s="88"/>
      <c r="G108" s="88"/>
      <c r="H108" s="88"/>
    </row>
    <row r="109">
      <c r="A109" s="87"/>
      <c r="B109" s="88"/>
      <c r="C109" s="88"/>
      <c r="D109" s="88"/>
      <c r="E109" s="88"/>
      <c r="F109" s="88"/>
      <c r="G109" s="88"/>
      <c r="H109" s="88"/>
    </row>
    <row r="110">
      <c r="A110" s="87" t="str">
        <f>A55</f>
        <v>Okra</v>
      </c>
      <c r="B110" s="88"/>
      <c r="C110" s="88"/>
      <c r="D110" s="88"/>
      <c r="E110" s="88"/>
      <c r="F110" s="88"/>
      <c r="G110" s="88"/>
      <c r="H110" s="88"/>
    </row>
    <row r="111">
      <c r="A111" s="87"/>
      <c r="B111" s="88"/>
      <c r="C111" s="88"/>
      <c r="D111" s="88"/>
      <c r="E111" s="88"/>
      <c r="F111" s="88"/>
      <c r="G111" s="88"/>
      <c r="H111" s="88"/>
    </row>
    <row r="112">
      <c r="A112" s="87"/>
      <c r="B112" s="88"/>
      <c r="C112" s="88"/>
      <c r="D112" s="88"/>
      <c r="E112" s="88"/>
      <c r="F112" s="88"/>
      <c r="G112" s="88"/>
      <c r="H112" s="88"/>
    </row>
    <row r="113">
      <c r="A113" s="87"/>
      <c r="B113" s="88"/>
      <c r="C113" s="88"/>
      <c r="D113" s="88"/>
      <c r="E113" s="88"/>
      <c r="F113" s="88"/>
      <c r="G113" s="88"/>
      <c r="H113" s="88"/>
    </row>
    <row r="114">
      <c r="A114" s="87" t="str">
        <f>A56</f>
        <v>Chilli</v>
      </c>
      <c r="B114" s="88"/>
      <c r="C114" s="88"/>
      <c r="D114" s="88"/>
      <c r="E114" s="88"/>
      <c r="F114" s="88"/>
      <c r="G114" s="88"/>
      <c r="H114" s="88"/>
    </row>
    <row r="115">
      <c r="A115" s="87"/>
      <c r="B115" s="88"/>
      <c r="C115" s="88"/>
      <c r="D115" s="88"/>
      <c r="E115" s="88"/>
      <c r="F115" s="88"/>
      <c r="G115" s="88"/>
      <c r="H115" s="88"/>
    </row>
    <row r="116">
      <c r="A116" s="87"/>
      <c r="B116" s="88"/>
      <c r="C116" s="88"/>
      <c r="D116" s="88"/>
      <c r="E116" s="88"/>
      <c r="F116" s="88"/>
      <c r="G116" s="88"/>
      <c r="H116" s="88"/>
    </row>
    <row r="117">
      <c r="A117" s="87"/>
      <c r="B117" s="88"/>
      <c r="C117" s="88"/>
      <c r="D117" s="88"/>
      <c r="E117" s="88"/>
      <c r="F117" s="88"/>
      <c r="G117" s="88"/>
      <c r="H117" s="88"/>
    </row>
    <row r="118">
      <c r="A118" s="90" t="str">
        <f t="shared" ref="A118:A123" si="19">A57</f>
        <v>Brinjal</v>
      </c>
      <c r="B118" s="88"/>
      <c r="C118" s="88"/>
      <c r="D118" s="88"/>
      <c r="E118" s="88"/>
      <c r="F118" s="88"/>
      <c r="G118" s="88"/>
      <c r="H118" s="88"/>
    </row>
    <row r="119">
      <c r="A119" s="87" t="str">
        <f t="shared" si="19"/>
        <v/>
      </c>
      <c r="B119" s="88"/>
      <c r="C119" s="88"/>
      <c r="D119" s="88"/>
      <c r="E119" s="88"/>
      <c r="F119" s="88"/>
      <c r="G119" s="88"/>
      <c r="H119" s="88"/>
    </row>
    <row r="120">
      <c r="A120" s="87" t="str">
        <f t="shared" si="19"/>
        <v/>
      </c>
      <c r="B120" s="88"/>
      <c r="C120" s="88"/>
      <c r="D120" s="88"/>
      <c r="E120" s="88"/>
      <c r="F120" s="88"/>
      <c r="G120" s="88"/>
      <c r="H120" s="88"/>
    </row>
    <row r="121">
      <c r="A121" s="87" t="str">
        <f t="shared" si="19"/>
        <v/>
      </c>
      <c r="B121" s="88"/>
      <c r="C121" s="88"/>
      <c r="D121" s="88"/>
      <c r="E121" s="88"/>
      <c r="F121" s="88"/>
      <c r="G121" s="88"/>
      <c r="H121" s="88"/>
    </row>
    <row r="122">
      <c r="A122" s="87" t="str">
        <f t="shared" si="19"/>
        <v/>
      </c>
      <c r="B122" s="88"/>
      <c r="C122" s="88"/>
      <c r="D122" s="88"/>
      <c r="E122" s="88"/>
      <c r="F122" s="88"/>
      <c r="G122" s="88"/>
      <c r="H122" s="88"/>
    </row>
    <row r="123">
      <c r="A123" s="90" t="str">
        <f t="shared" si="19"/>
        <v>Pomegranate</v>
      </c>
      <c r="B123" s="88"/>
      <c r="C123" s="88"/>
      <c r="D123" s="88"/>
      <c r="E123" s="88"/>
      <c r="F123" s="88"/>
      <c r="G123" s="88"/>
      <c r="H123" s="88"/>
    </row>
    <row r="124">
      <c r="A124" s="87" t="s">
        <v>728</v>
      </c>
      <c r="B124" s="88" t="str">
        <f t="shared" ref="B124:H124" si="20">(B$62*50%)*0.7</f>
        <v>  -   </v>
      </c>
      <c r="C124" s="88" t="str">
        <f t="shared" si="20"/>
        <v>  -   </v>
      </c>
      <c r="D124" s="88" t="str">
        <f t="shared" si="20"/>
        <v>  -   </v>
      </c>
      <c r="E124" s="88" t="str">
        <f t="shared" si="20"/>
        <v>  -   </v>
      </c>
      <c r="F124" s="88" t="str">
        <f t="shared" si="20"/>
        <v>  -   </v>
      </c>
      <c r="G124" s="88" t="str">
        <f t="shared" si="20"/>
        <v>  -   </v>
      </c>
      <c r="H124" s="88" t="str">
        <f t="shared" si="20"/>
        <v>  -   </v>
      </c>
    </row>
    <row r="125">
      <c r="A125" s="87" t="s">
        <v>729</v>
      </c>
      <c r="B125" s="88" t="str">
        <f>(B$62*50%)*0.7*2</f>
        <v>  -   </v>
      </c>
      <c r="C125" s="88" t="str">
        <f t="shared" ref="C125:H125" si="21">(C$62*50%)*0.7</f>
        <v>  -   </v>
      </c>
      <c r="D125" s="88" t="str">
        <f t="shared" si="21"/>
        <v>  -   </v>
      </c>
      <c r="E125" s="88" t="str">
        <f t="shared" si="21"/>
        <v>  -   </v>
      </c>
      <c r="F125" s="88" t="str">
        <f t="shared" si="21"/>
        <v>  -   </v>
      </c>
      <c r="G125" s="88" t="str">
        <f t="shared" si="21"/>
        <v>  -   </v>
      </c>
      <c r="H125" s="88" t="str">
        <f t="shared" si="21"/>
        <v>  -   </v>
      </c>
    </row>
    <row r="126">
      <c r="A126" s="87" t="s">
        <v>730</v>
      </c>
      <c r="B126" s="88" t="str">
        <f>(B$62*0.3)*0.2</f>
        <v>  -   </v>
      </c>
      <c r="C126" s="88" t="str">
        <f t="shared" ref="C126:H126" si="22">(C$62*50%)*0.7</f>
        <v>  -   </v>
      </c>
      <c r="D126" s="88" t="str">
        <f t="shared" si="22"/>
        <v>  -   </v>
      </c>
      <c r="E126" s="88" t="str">
        <f t="shared" si="22"/>
        <v>  -   </v>
      </c>
      <c r="F126" s="88" t="str">
        <f t="shared" si="22"/>
        <v>  -   </v>
      </c>
      <c r="G126" s="88" t="str">
        <f t="shared" si="22"/>
        <v>  -   </v>
      </c>
      <c r="H126" s="88" t="str">
        <f t="shared" si="22"/>
        <v>  -   </v>
      </c>
    </row>
    <row r="127">
      <c r="A127" s="87" t="str">
        <f>A63</f>
        <v>Custard Apple</v>
      </c>
      <c r="B127" s="88"/>
      <c r="C127" s="88"/>
      <c r="D127" s="88"/>
      <c r="E127" s="88"/>
      <c r="F127" s="88"/>
      <c r="G127" s="88"/>
      <c r="H127" s="88"/>
    </row>
    <row r="128">
      <c r="A128" s="87"/>
      <c r="B128" s="88"/>
      <c r="C128" s="88"/>
      <c r="D128" s="88"/>
      <c r="E128" s="88"/>
      <c r="F128" s="88"/>
      <c r="G128" s="88"/>
      <c r="H128" s="88"/>
    </row>
    <row r="129">
      <c r="A129" s="87"/>
      <c r="B129" s="88"/>
      <c r="C129" s="88"/>
      <c r="D129" s="88"/>
      <c r="E129" s="88"/>
      <c r="F129" s="88"/>
      <c r="G129" s="88"/>
      <c r="H129" s="88"/>
    </row>
    <row r="130">
      <c r="A130" s="87"/>
      <c r="B130" s="88"/>
      <c r="C130" s="88"/>
      <c r="D130" s="88"/>
      <c r="E130" s="88"/>
      <c r="F130" s="88"/>
      <c r="G130" s="88"/>
      <c r="H130" s="88"/>
    </row>
    <row r="131">
      <c r="A131" s="87" t="str">
        <f>A64</f>
        <v>Guava</v>
      </c>
      <c r="B131" s="88"/>
      <c r="C131" s="88"/>
      <c r="D131" s="88"/>
      <c r="E131" s="88"/>
      <c r="F131" s="88"/>
      <c r="G131" s="88"/>
      <c r="H131" s="88"/>
    </row>
    <row r="132">
      <c r="A132" s="87"/>
      <c r="B132" s="88"/>
      <c r="C132" s="88"/>
      <c r="D132" s="88"/>
      <c r="E132" s="88"/>
      <c r="F132" s="88"/>
      <c r="G132" s="88"/>
      <c r="H132" s="88"/>
    </row>
    <row r="133">
      <c r="A133" s="87"/>
      <c r="B133" s="88"/>
      <c r="C133" s="88"/>
      <c r="D133" s="88"/>
      <c r="E133" s="88"/>
      <c r="F133" s="88"/>
      <c r="G133" s="88"/>
      <c r="H133" s="88"/>
    </row>
    <row r="134">
      <c r="A134" s="87"/>
      <c r="B134" s="88"/>
      <c r="C134" s="88"/>
      <c r="D134" s="88"/>
      <c r="E134" s="88"/>
      <c r="F134" s="88"/>
      <c r="G134" s="88"/>
      <c r="H134" s="88"/>
    </row>
    <row r="135">
      <c r="A135" s="87" t="str">
        <f>A65</f>
        <v>Citrus</v>
      </c>
      <c r="B135" s="88"/>
      <c r="C135" s="88"/>
      <c r="D135" s="88"/>
      <c r="E135" s="88"/>
      <c r="F135" s="88"/>
      <c r="G135" s="88"/>
      <c r="H135" s="88"/>
    </row>
    <row r="136">
      <c r="A136" s="87"/>
      <c r="B136" s="88"/>
      <c r="C136" s="88"/>
      <c r="D136" s="88"/>
      <c r="E136" s="88"/>
      <c r="F136" s="88"/>
      <c r="G136" s="88"/>
      <c r="H136" s="88"/>
    </row>
    <row r="137">
      <c r="A137" s="87"/>
      <c r="B137" s="88"/>
      <c r="C137" s="88"/>
      <c r="D137" s="88"/>
      <c r="E137" s="88"/>
      <c r="F137" s="88"/>
      <c r="G137" s="88"/>
      <c r="H137" s="88"/>
    </row>
    <row r="138">
      <c r="A138" s="87"/>
      <c r="B138" s="88"/>
      <c r="C138" s="88"/>
      <c r="D138" s="88"/>
      <c r="E138" s="88"/>
      <c r="F138" s="88"/>
      <c r="G138" s="88"/>
      <c r="H138" s="88"/>
    </row>
    <row r="139">
      <c r="A139" s="93"/>
      <c r="B139" s="102"/>
      <c r="C139" s="102"/>
      <c r="D139" s="102"/>
      <c r="E139" s="102"/>
      <c r="F139" s="102"/>
      <c r="G139" s="102"/>
      <c r="H139" s="102"/>
    </row>
    <row r="140">
      <c r="A140" s="93" t="s">
        <v>649</v>
      </c>
    </row>
    <row r="141">
      <c r="A141" t="s">
        <v>731</v>
      </c>
      <c r="B141" s="127" t="str">
        <f t="shared" ref="B141:H141" si="23">(B124*100)</f>
        <v>  -   </v>
      </c>
      <c r="C141" s="127" t="str">
        <f t="shared" si="23"/>
        <v>  -   </v>
      </c>
      <c r="D141" s="127" t="str">
        <f t="shared" si="23"/>
        <v>  -   </v>
      </c>
      <c r="E141" s="127" t="str">
        <f t="shared" si="23"/>
        <v>  -   </v>
      </c>
      <c r="F141" s="127" t="str">
        <f t="shared" si="23"/>
        <v>  -   </v>
      </c>
      <c r="G141" s="127" t="str">
        <f t="shared" si="23"/>
        <v>  -   </v>
      </c>
      <c r="H141" s="127" t="str">
        <f t="shared" si="23"/>
        <v>  -   </v>
      </c>
    </row>
    <row r="142">
      <c r="A142" t="s">
        <v>732</v>
      </c>
      <c r="B142" s="127" t="str">
        <f t="shared" ref="B142:H142" si="24">(B125*100)</f>
        <v>  -   </v>
      </c>
      <c r="C142" s="127" t="str">
        <f t="shared" si="24"/>
        <v>  -   </v>
      </c>
      <c r="D142" s="127" t="str">
        <f t="shared" si="24"/>
        <v>  -   </v>
      </c>
      <c r="E142" s="127" t="str">
        <f t="shared" si="24"/>
        <v>  -   </v>
      </c>
      <c r="F142" s="127" t="str">
        <f t="shared" si="24"/>
        <v>  -   </v>
      </c>
      <c r="G142" s="127" t="str">
        <f t="shared" si="24"/>
        <v>  -   </v>
      </c>
      <c r="H142" s="127" t="str">
        <f t="shared" si="24"/>
        <v>  -   </v>
      </c>
    </row>
    <row r="143">
      <c r="A143" t="s">
        <v>733</v>
      </c>
      <c r="B143" s="127" t="str">
        <f t="shared" ref="B143:H143" si="25">(B126*100)</f>
        <v>  -   </v>
      </c>
      <c r="C143" s="127" t="str">
        <f t="shared" si="25"/>
        <v>  -   </v>
      </c>
      <c r="D143" s="127" t="str">
        <f t="shared" si="25"/>
        <v>  -   </v>
      </c>
      <c r="E143" s="127" t="str">
        <f t="shared" si="25"/>
        <v>  -   </v>
      </c>
      <c r="F143" s="127" t="str">
        <f t="shared" si="25"/>
        <v>  -   </v>
      </c>
      <c r="G143" s="127" t="str">
        <f t="shared" si="25"/>
        <v>  -   </v>
      </c>
      <c r="H143" s="127" t="str">
        <f t="shared" si="25"/>
        <v>  -   </v>
      </c>
    </row>
    <row r="145">
      <c r="B145" s="127"/>
      <c r="C145" s="127"/>
    </row>
    <row r="146">
      <c r="B146" s="127"/>
      <c r="C146" s="127"/>
      <c r="D146" s="127"/>
    </row>
    <row r="147">
      <c r="A147" s="25" t="s">
        <v>734</v>
      </c>
    </row>
    <row r="148">
      <c r="A148" s="45"/>
      <c r="B148" s="45"/>
      <c r="C148" s="45"/>
      <c r="D148" s="45"/>
      <c r="E148" s="45"/>
      <c r="F148" s="45"/>
      <c r="G148" s="45"/>
      <c r="H148" s="45"/>
    </row>
    <row r="149">
      <c r="A149" s="362"/>
      <c r="B149" s="362"/>
      <c r="C149" s="362"/>
      <c r="D149" s="363">
        <v>1.0</v>
      </c>
      <c r="E149" s="364" t="str">
        <f t="shared" ref="E149:J149" si="26">(D149*5%)+D149</f>
        <v>105.00%</v>
      </c>
      <c r="F149" s="364" t="str">
        <f t="shared" si="26"/>
        <v>110.25%</v>
      </c>
      <c r="G149" s="364" t="str">
        <f t="shared" si="26"/>
        <v>115.76%</v>
      </c>
      <c r="H149" s="364" t="str">
        <f t="shared" si="26"/>
        <v>121.55%</v>
      </c>
      <c r="I149" s="364" t="str">
        <f t="shared" si="26"/>
        <v>127.63%</v>
      </c>
      <c r="J149" s="364" t="str">
        <f t="shared" si="26"/>
        <v>134.01%</v>
      </c>
    </row>
    <row r="150">
      <c r="A150" s="93"/>
      <c r="B150" s="93"/>
      <c r="C150" s="93"/>
      <c r="D150" s="93"/>
      <c r="E150" s="93"/>
      <c r="F150" s="93"/>
      <c r="G150" s="93"/>
      <c r="H150" s="93"/>
      <c r="I150" s="93"/>
      <c r="J150" s="93"/>
    </row>
    <row r="151">
      <c r="A151" s="197" t="s">
        <v>156</v>
      </c>
      <c r="B151" s="197" t="s">
        <v>206</v>
      </c>
      <c r="C151" s="197" t="s">
        <v>220</v>
      </c>
      <c r="D151" s="198" t="s">
        <v>137</v>
      </c>
      <c r="E151" s="198" t="s">
        <v>138</v>
      </c>
      <c r="F151" s="198" t="s">
        <v>139</v>
      </c>
      <c r="G151" s="198" t="s">
        <v>140</v>
      </c>
      <c r="H151" s="198" t="s">
        <v>141</v>
      </c>
      <c r="I151" s="198" t="s">
        <v>142</v>
      </c>
      <c r="J151" s="198" t="s">
        <v>143</v>
      </c>
    </row>
    <row r="152">
      <c r="A152" s="87"/>
      <c r="B152" s="87"/>
      <c r="C152" s="87"/>
      <c r="D152" s="87"/>
      <c r="E152" s="87"/>
      <c r="F152" s="87"/>
      <c r="G152" s="87"/>
      <c r="H152" s="87"/>
      <c r="I152" s="87"/>
      <c r="J152" s="87"/>
    </row>
    <row r="153">
      <c r="A153" s="90" t="s">
        <v>448</v>
      </c>
      <c r="B153" s="90"/>
      <c r="C153" s="90"/>
      <c r="D153" s="92"/>
      <c r="E153" s="92"/>
      <c r="F153" s="92"/>
      <c r="G153" s="92"/>
      <c r="H153" s="92"/>
      <c r="I153" s="87"/>
      <c r="J153" s="87"/>
    </row>
    <row r="154">
      <c r="A154" s="87" t="str">
        <f t="shared" ref="A154:A156" si="27">A124</f>
        <v>Pomegranate Arils</v>
      </c>
      <c r="B154" s="157" t="s">
        <v>735</v>
      </c>
      <c r="C154" s="157">
        <v>0.0</v>
      </c>
      <c r="D154" s="88" t="str">
        <f>(B141*(1-'5.Closing Stock &amp; W Capital'!$D$18)*$C154*D$149)</f>
        <v>  -   </v>
      </c>
      <c r="E154" s="88" t="str">
        <f>(((C141*(1-'5.Closing Stock &amp; W Capital'!$D$18))+(B141*'5.Closing Stock &amp; W Capital'!$D$18))*$C154*E$149)</f>
        <v>  -   </v>
      </c>
      <c r="F154" s="88" t="str">
        <f>(((D141*(1-'5.Closing Stock &amp; W Capital'!$D$18))+(C141*'5.Closing Stock &amp; W Capital'!$D$18))*$C154*F$149)</f>
        <v>  -   </v>
      </c>
      <c r="G154" s="88" t="str">
        <f>(((E141*(1-'5.Closing Stock &amp; W Capital'!$D$18))+(D141*'5.Closing Stock &amp; W Capital'!$D$18))*$C154*G$149)</f>
        <v>  -   </v>
      </c>
      <c r="H154" s="88" t="str">
        <f>(((F141*(1-'5.Closing Stock &amp; W Capital'!$D$18))+(E141*'5.Closing Stock &amp; W Capital'!$D$18))*$C154*H$149)</f>
        <v>  -   </v>
      </c>
      <c r="I154" s="88" t="str">
        <f>(((G141*(1-'5.Closing Stock &amp; W Capital'!$D$18))+(F141*'5.Closing Stock &amp; W Capital'!$D$18))*$C154*I$149)</f>
        <v>  -   </v>
      </c>
      <c r="J154" s="88" t="str">
        <f>(((H141*(1-'5.Closing Stock &amp; W Capital'!$D$18))+(G141*'5.Closing Stock &amp; W Capital'!$D$18))*$C154*J$149)</f>
        <v>  -   </v>
      </c>
    </row>
    <row r="155">
      <c r="A155" s="87" t="str">
        <f t="shared" si="27"/>
        <v>Pomegranate Juice</v>
      </c>
      <c r="B155" s="157" t="s">
        <v>736</v>
      </c>
      <c r="C155" s="157">
        <v>0.0</v>
      </c>
      <c r="D155" s="88" t="str">
        <f>(B142*(1-'5.Closing Stock &amp; W Capital'!$D$18)*$C155*D$149)</f>
        <v>  -   </v>
      </c>
      <c r="E155" s="88" t="str">
        <f>(((C142*(1-'5.Closing Stock &amp; W Capital'!$D$18))+(B142*'5.Closing Stock &amp; W Capital'!$D$18))*$C155*E$149)</f>
        <v>  -   </v>
      </c>
      <c r="F155" s="88" t="str">
        <f>(((D142*(1-'5.Closing Stock &amp; W Capital'!$D$18))+(C142*'5.Closing Stock &amp; W Capital'!$D$18))*$C155*F$149)</f>
        <v>  -   </v>
      </c>
      <c r="G155" s="88" t="str">
        <f>(((E142*(1-'5.Closing Stock &amp; W Capital'!$D$18))+(D142*'5.Closing Stock &amp; W Capital'!$D$18))*$C155*G$149)</f>
        <v>  -   </v>
      </c>
      <c r="H155" s="88" t="str">
        <f>(((F142*(1-'5.Closing Stock &amp; W Capital'!$D$18))+(E142*'5.Closing Stock &amp; W Capital'!$D$18))*$C155*H$149)</f>
        <v>  -   </v>
      </c>
      <c r="I155" s="88" t="str">
        <f>(((G142*(1-'5.Closing Stock &amp; W Capital'!$D$18))+(F142*'5.Closing Stock &amp; W Capital'!$D$18))*$C155*I$149)</f>
        <v>  -   </v>
      </c>
      <c r="J155" s="88" t="str">
        <f>(((H142*(1-'5.Closing Stock &amp; W Capital'!$D$18))+(G142*'5.Closing Stock &amp; W Capital'!$D$18))*$C155*J$149)</f>
        <v>  -   </v>
      </c>
    </row>
    <row r="156">
      <c r="A156" s="87" t="str">
        <f t="shared" si="27"/>
        <v>Pomegranate Powder</v>
      </c>
      <c r="B156" s="157" t="s">
        <v>652</v>
      </c>
      <c r="C156" s="157">
        <v>0.0</v>
      </c>
      <c r="D156" s="88" t="str">
        <f>(B143*(1-'5.Closing Stock &amp; W Capital'!$D$18)*$C156*D$149)</f>
        <v>  -   </v>
      </c>
      <c r="E156" s="88" t="str">
        <f>(((C143*(1-'5.Closing Stock &amp; W Capital'!$D$18))+(B143*'5.Closing Stock &amp; W Capital'!$D$18))*$C156*E$149)</f>
        <v>  -   </v>
      </c>
      <c r="F156" s="88" t="str">
        <f>(((D143*(1-'5.Closing Stock &amp; W Capital'!$D$18))+(C143*'5.Closing Stock &amp; W Capital'!$D$18))*$C156*F$149)</f>
        <v>  -   </v>
      </c>
      <c r="G156" s="88" t="str">
        <f>(((E143*(1-'5.Closing Stock &amp; W Capital'!$D$18))+(D143*'5.Closing Stock &amp; W Capital'!$D$18))*$C156*G$149)</f>
        <v>  -   </v>
      </c>
      <c r="H156" s="88" t="str">
        <f>(((F143*(1-'5.Closing Stock &amp; W Capital'!$D$18))+(E143*'5.Closing Stock &amp; W Capital'!$D$18))*$C156*H$149)</f>
        <v>  -   </v>
      </c>
      <c r="I156" s="88" t="str">
        <f>(((G143*(1-'5.Closing Stock &amp; W Capital'!$D$18))+(F143*'5.Closing Stock &amp; W Capital'!$D$18))*$C156*I$149)</f>
        <v>  -   </v>
      </c>
      <c r="J156" s="88" t="str">
        <f>(((H143*(1-'5.Closing Stock &amp; W Capital'!$D$18))+(G143*'5.Closing Stock &amp; W Capital'!$D$18))*$C156*J$149)</f>
        <v>  -   </v>
      </c>
    </row>
    <row r="157">
      <c r="A157" s="87"/>
      <c r="B157" s="157"/>
      <c r="C157" s="157"/>
      <c r="D157" s="88"/>
      <c r="E157" s="88"/>
      <c r="F157" s="88"/>
      <c r="G157" s="88"/>
      <c r="H157" s="88"/>
      <c r="I157" s="88"/>
      <c r="J157" s="88"/>
    </row>
    <row r="158">
      <c r="A158" s="87"/>
      <c r="B158" s="87"/>
      <c r="C158" s="87"/>
      <c r="D158" s="88"/>
      <c r="E158" s="88"/>
      <c r="F158" s="88"/>
      <c r="G158" s="88"/>
      <c r="H158" s="88"/>
      <c r="I158" s="88"/>
      <c r="J158" s="88"/>
    </row>
    <row r="159">
      <c r="A159" s="90" t="s">
        <v>448</v>
      </c>
      <c r="B159" s="90"/>
      <c r="C159" s="90"/>
      <c r="D159" s="91" t="str">
        <f t="shared" ref="D159:J159" si="28">SUM(D154:D157)</f>
        <v>  -   </v>
      </c>
      <c r="E159" s="91" t="str">
        <f t="shared" si="28"/>
        <v>  -   </v>
      </c>
      <c r="F159" s="91" t="str">
        <f t="shared" si="28"/>
        <v>  -   </v>
      </c>
      <c r="G159" s="91" t="str">
        <f t="shared" si="28"/>
        <v>  -   </v>
      </c>
      <c r="H159" s="91" t="str">
        <f t="shared" si="28"/>
        <v>  -   </v>
      </c>
      <c r="I159" s="91" t="str">
        <f t="shared" si="28"/>
        <v>  -   </v>
      </c>
      <c r="J159" s="91" t="str">
        <f t="shared" si="28"/>
        <v>  -   </v>
      </c>
    </row>
    <row r="160">
      <c r="A160" s="87"/>
      <c r="B160" s="87"/>
      <c r="C160" s="87"/>
      <c r="D160" s="88"/>
      <c r="E160" s="88"/>
      <c r="F160" s="88"/>
      <c r="G160" s="88"/>
      <c r="H160" s="88"/>
      <c r="I160" s="88"/>
      <c r="J160" s="88"/>
    </row>
    <row r="161">
      <c r="A161" s="90" t="s">
        <v>622</v>
      </c>
      <c r="B161" s="90"/>
      <c r="C161" s="90"/>
      <c r="D161" s="88"/>
      <c r="E161" s="88"/>
      <c r="F161" s="88"/>
      <c r="G161" s="88"/>
      <c r="H161" s="88"/>
      <c r="I161" s="88"/>
      <c r="J161" s="88"/>
    </row>
    <row r="162">
      <c r="A162" s="90" t="s">
        <v>198</v>
      </c>
      <c r="B162" s="90"/>
      <c r="C162" s="87"/>
      <c r="D162" s="88"/>
      <c r="E162" s="88"/>
      <c r="F162" s="88"/>
      <c r="G162" s="88"/>
      <c r="H162" s="88"/>
      <c r="I162" s="88"/>
      <c r="J162" s="88"/>
    </row>
    <row r="163">
      <c r="A163" s="87" t="s">
        <v>737</v>
      </c>
      <c r="B163" s="157" t="s">
        <v>620</v>
      </c>
      <c r="C163" s="391">
        <v>0.0</v>
      </c>
      <c r="D163" s="88" t="str">
        <f t="shared" ref="D163:J163" si="29">B62*$C163*D$149</f>
        <v>  -   </v>
      </c>
      <c r="E163" s="88" t="str">
        <f t="shared" si="29"/>
        <v>  -   </v>
      </c>
      <c r="F163" s="88" t="str">
        <f t="shared" si="29"/>
        <v>  -   </v>
      </c>
      <c r="G163" s="88" t="str">
        <f t="shared" si="29"/>
        <v>  -   </v>
      </c>
      <c r="H163" s="88" t="str">
        <f t="shared" si="29"/>
        <v>  -   </v>
      </c>
      <c r="I163" s="88" t="str">
        <f t="shared" si="29"/>
        <v>  -   </v>
      </c>
      <c r="J163" s="88" t="str">
        <f t="shared" si="29"/>
        <v>  -   </v>
      </c>
    </row>
    <row r="164">
      <c r="A164" s="87" t="s">
        <v>738</v>
      </c>
      <c r="B164" s="157" t="s">
        <v>620</v>
      </c>
      <c r="C164" s="157">
        <v>0.0</v>
      </c>
      <c r="D164" s="88" t="str">
        <f t="shared" ref="D164:J164" si="30">(B62*10%)*$C164*D$149</f>
        <v>  -   </v>
      </c>
      <c r="E164" s="88" t="str">
        <f t="shared" si="30"/>
        <v>  -   </v>
      </c>
      <c r="F164" s="88" t="str">
        <f t="shared" si="30"/>
        <v>  -   </v>
      </c>
      <c r="G164" s="88" t="str">
        <f t="shared" si="30"/>
        <v>  -   </v>
      </c>
      <c r="H164" s="88" t="str">
        <f t="shared" si="30"/>
        <v>  -   </v>
      </c>
      <c r="I164" s="88" t="str">
        <f t="shared" si="30"/>
        <v>  -   </v>
      </c>
      <c r="J164" s="88" t="str">
        <f t="shared" si="30"/>
        <v>  -   </v>
      </c>
    </row>
    <row r="165">
      <c r="A165" s="87" t="s">
        <v>654</v>
      </c>
      <c r="B165" s="157">
        <v>5.0</v>
      </c>
      <c r="C165" s="157">
        <v>0.0</v>
      </c>
      <c r="D165" s="88" t="str">
        <f t="shared" ref="D165:J165" si="31">B12*$B$165*$C$165*D149</f>
        <v>  -   </v>
      </c>
      <c r="E165" s="88" t="str">
        <f t="shared" si="31"/>
        <v>  -   </v>
      </c>
      <c r="F165" s="88" t="str">
        <f t="shared" si="31"/>
        <v>  -   </v>
      </c>
      <c r="G165" s="88" t="str">
        <f t="shared" si="31"/>
        <v>  -   </v>
      </c>
      <c r="H165" s="88" t="str">
        <f t="shared" si="31"/>
        <v>  -   </v>
      </c>
      <c r="I165" s="88" t="str">
        <f t="shared" si="31"/>
        <v>  -   </v>
      </c>
      <c r="J165" s="88" t="str">
        <f t="shared" si="31"/>
        <v>  -   </v>
      </c>
    </row>
    <row r="166">
      <c r="A166" s="87" t="s">
        <v>624</v>
      </c>
      <c r="B166" s="87" t="str">
        <f>'2.Capex Details'!H64*0.746*8</f>
        <v>0</v>
      </c>
      <c r="C166" s="157">
        <v>0.0</v>
      </c>
      <c r="D166" s="88" t="str">
        <f t="shared" ref="D166:J166" si="32">$B$166*$C$166*B12*D149</f>
        <v>  -   </v>
      </c>
      <c r="E166" s="88" t="str">
        <f t="shared" si="32"/>
        <v>  -   </v>
      </c>
      <c r="F166" s="88" t="str">
        <f t="shared" si="32"/>
        <v>  -   </v>
      </c>
      <c r="G166" s="88" t="str">
        <f t="shared" si="32"/>
        <v>  -   </v>
      </c>
      <c r="H166" s="88" t="str">
        <f t="shared" si="32"/>
        <v>  -   </v>
      </c>
      <c r="I166" s="88" t="str">
        <f t="shared" si="32"/>
        <v>  -   </v>
      </c>
      <c r="J166" s="88" t="str">
        <f t="shared" si="32"/>
        <v>  -   </v>
      </c>
    </row>
    <row r="167">
      <c r="A167" s="87" t="s">
        <v>655</v>
      </c>
      <c r="B167" s="87" t="s">
        <v>620</v>
      </c>
      <c r="C167" s="157">
        <v>0.0</v>
      </c>
      <c r="D167" s="88" t="str">
        <f t="shared" ref="D167:J167" si="33">B62*$C167*D$149</f>
        <v>  -   </v>
      </c>
      <c r="E167" s="88" t="str">
        <f t="shared" si="33"/>
        <v>  -   </v>
      </c>
      <c r="F167" s="88" t="str">
        <f t="shared" si="33"/>
        <v>  -   </v>
      </c>
      <c r="G167" s="88" t="str">
        <f t="shared" si="33"/>
        <v>  -   </v>
      </c>
      <c r="H167" s="88" t="str">
        <f t="shared" si="33"/>
        <v>  -   </v>
      </c>
      <c r="I167" s="88" t="str">
        <f t="shared" si="33"/>
        <v>  -   </v>
      </c>
      <c r="J167" s="88" t="str">
        <f t="shared" si="33"/>
        <v>  -   </v>
      </c>
    </row>
    <row r="168">
      <c r="A168" s="100" t="s">
        <v>656</v>
      </c>
      <c r="B168" s="100"/>
      <c r="C168" s="387">
        <v>0.0</v>
      </c>
      <c r="D168" s="88" t="str">
        <f t="shared" ref="D168:J168" si="34">SUM(B141:B143)*$C$168*D$149</f>
        <v>  -   </v>
      </c>
      <c r="E168" s="88" t="str">
        <f t="shared" si="34"/>
        <v>  -   </v>
      </c>
      <c r="F168" s="88" t="str">
        <f t="shared" si="34"/>
        <v>  -   </v>
      </c>
      <c r="G168" s="88" t="str">
        <f t="shared" si="34"/>
        <v>  -   </v>
      </c>
      <c r="H168" s="88" t="str">
        <f t="shared" si="34"/>
        <v>  -   </v>
      </c>
      <c r="I168" s="88" t="str">
        <f t="shared" si="34"/>
        <v>  -   </v>
      </c>
      <c r="J168" s="88" t="str">
        <f t="shared" si="34"/>
        <v>  -   </v>
      </c>
    </row>
    <row r="169">
      <c r="A169" s="87" t="s">
        <v>657</v>
      </c>
      <c r="B169" s="87"/>
      <c r="C169" s="157">
        <v>0.0</v>
      </c>
      <c r="D169" s="88" t="str">
        <f t="shared" ref="D169:J169" si="35">SUM(B141:B143)*$C$169*D$149</f>
        <v>  -   </v>
      </c>
      <c r="E169" s="88" t="str">
        <f t="shared" si="35"/>
        <v>  -   </v>
      </c>
      <c r="F169" s="88" t="str">
        <f t="shared" si="35"/>
        <v>  -   </v>
      </c>
      <c r="G169" s="88" t="str">
        <f t="shared" si="35"/>
        <v>  -   </v>
      </c>
      <c r="H169" s="88" t="str">
        <f t="shared" si="35"/>
        <v>  -   </v>
      </c>
      <c r="I169" s="88" t="str">
        <f t="shared" si="35"/>
        <v>  -   </v>
      </c>
      <c r="J169" s="88" t="str">
        <f t="shared" si="35"/>
        <v>  -   </v>
      </c>
    </row>
    <row r="170">
      <c r="A170" s="42"/>
      <c r="B170" s="42"/>
      <c r="C170" s="42"/>
      <c r="D170" s="42"/>
      <c r="E170" s="42"/>
      <c r="F170" s="42"/>
      <c r="G170" s="42"/>
      <c r="H170" s="42"/>
      <c r="I170" s="42"/>
      <c r="J170" s="42"/>
    </row>
    <row r="171">
      <c r="A171" s="42"/>
      <c r="B171" s="42"/>
      <c r="C171" s="42"/>
      <c r="D171" s="42"/>
      <c r="E171" s="42"/>
      <c r="F171" s="42"/>
      <c r="G171" s="42"/>
      <c r="H171" s="42"/>
      <c r="I171" s="42"/>
      <c r="J171" s="42"/>
    </row>
    <row r="172">
      <c r="A172" s="42"/>
      <c r="B172" s="42"/>
      <c r="C172" s="42"/>
      <c r="D172" s="42"/>
      <c r="E172" s="42"/>
      <c r="F172" s="42"/>
      <c r="G172" s="42"/>
      <c r="H172" s="42"/>
      <c r="I172" s="42"/>
      <c r="J172" s="42"/>
    </row>
    <row r="173">
      <c r="A173" s="42"/>
      <c r="B173" s="42"/>
      <c r="C173" s="42"/>
      <c r="D173" s="42"/>
      <c r="E173" s="42"/>
      <c r="F173" s="42"/>
      <c r="G173" s="42"/>
      <c r="H173" s="42"/>
      <c r="I173" s="42"/>
      <c r="J173" s="42"/>
    </row>
    <row r="174">
      <c r="A174" s="88" t="s">
        <v>627</v>
      </c>
      <c r="B174" s="88"/>
      <c r="C174" s="88"/>
      <c r="D174" s="88"/>
      <c r="E174" s="88" t="str">
        <f>+'5.Closing Stock &amp; W Capital'!F9</f>
        <v>  -   </v>
      </c>
      <c r="F174" s="88" t="str">
        <f>+'5.Closing Stock &amp; W Capital'!G9</f>
        <v>  -   </v>
      </c>
      <c r="G174" s="88" t="str">
        <f>+'5.Closing Stock &amp; W Capital'!H9</f>
        <v>  -   </v>
      </c>
      <c r="H174" s="88" t="str">
        <f>+'5.Closing Stock &amp; W Capital'!I9</f>
        <v>  -   </v>
      </c>
      <c r="I174" s="88" t="str">
        <f>+'5.Closing Stock &amp; W Capital'!J9</f>
        <v>  -   </v>
      </c>
      <c r="J174" s="88" t="str">
        <f>+'5.Closing Stock &amp; W Capital'!K9</f>
        <v>  -   </v>
      </c>
    </row>
    <row r="175">
      <c r="A175" s="88" t="s">
        <v>628</v>
      </c>
      <c r="B175" s="88"/>
      <c r="C175" s="88"/>
      <c r="D175" s="88" t="str">
        <f>+'5.Closing Stock &amp; W Capital'!E18</f>
        <v>  -   </v>
      </c>
      <c r="E175" s="88" t="str">
        <f>+'5.Closing Stock &amp; W Capital'!F18</f>
        <v>  -   </v>
      </c>
      <c r="F175" s="88" t="str">
        <f>+'5.Closing Stock &amp; W Capital'!G18</f>
        <v>  -   </v>
      </c>
      <c r="G175" s="88" t="str">
        <f>+'5.Closing Stock &amp; W Capital'!H18</f>
        <v>  -   </v>
      </c>
      <c r="H175" s="88" t="str">
        <f>+'5.Closing Stock &amp; W Capital'!I18</f>
        <v>  -   </v>
      </c>
      <c r="I175" s="88" t="str">
        <f>+'5.Closing Stock &amp; W Capital'!J18</f>
        <v>  -   </v>
      </c>
      <c r="J175" s="88" t="str">
        <f>+'5.Closing Stock &amp; W Capital'!K18</f>
        <v>  -   </v>
      </c>
    </row>
    <row r="176">
      <c r="A176" s="88"/>
      <c r="B176" s="88"/>
      <c r="C176" s="88"/>
      <c r="D176" s="88"/>
      <c r="E176" s="88"/>
      <c r="F176" s="88"/>
      <c r="G176" s="88"/>
      <c r="H176" s="88"/>
      <c r="I176" s="88"/>
      <c r="J176" s="88"/>
    </row>
    <row r="177">
      <c r="A177" s="91" t="s">
        <v>456</v>
      </c>
      <c r="B177" s="88"/>
      <c r="C177" s="88"/>
      <c r="D177" s="91" t="str">
        <f t="shared" ref="D177:J177" si="36">SUM(D163:D174)-D175</f>
        <v>  -   </v>
      </c>
      <c r="E177" s="91" t="str">
        <f t="shared" si="36"/>
        <v>  -   </v>
      </c>
      <c r="F177" s="91" t="str">
        <f t="shared" si="36"/>
        <v>  -   </v>
      </c>
      <c r="G177" s="91" t="str">
        <f t="shared" si="36"/>
        <v>  -   </v>
      </c>
      <c r="H177" s="91" t="str">
        <f t="shared" si="36"/>
        <v>  -   </v>
      </c>
      <c r="I177" s="91" t="str">
        <f t="shared" si="36"/>
        <v>  -   </v>
      </c>
      <c r="J177" s="91" t="str">
        <f t="shared" si="36"/>
        <v>  -   </v>
      </c>
    </row>
    <row r="178">
      <c r="A178" s="93"/>
      <c r="B178" s="93"/>
      <c r="C178" s="93"/>
      <c r="D178" s="93"/>
      <c r="E178" s="93"/>
      <c r="F178" s="93"/>
      <c r="G178" s="93"/>
      <c r="H178" s="93"/>
      <c r="I178" s="93"/>
      <c r="J178" s="93"/>
    </row>
    <row r="179">
      <c r="A179" s="382" t="s">
        <v>457</v>
      </c>
      <c r="B179" s="382"/>
      <c r="C179" s="382"/>
      <c r="D179" s="91"/>
      <c r="E179" s="91"/>
      <c r="F179" s="91"/>
      <c r="G179" s="91"/>
      <c r="H179" s="91"/>
      <c r="I179" s="91"/>
      <c r="J179" s="91"/>
    </row>
    <row r="180">
      <c r="A180" s="87" t="s">
        <v>629</v>
      </c>
      <c r="B180" s="157">
        <v>1.0</v>
      </c>
      <c r="C180" s="391"/>
      <c r="D180" s="88" t="str">
        <f t="shared" ref="D180:J180" si="37">$B$180*$C$180*12*D149</f>
        <v>  -   </v>
      </c>
      <c r="E180" s="88" t="str">
        <f t="shared" si="37"/>
        <v>  -   </v>
      </c>
      <c r="F180" s="88" t="str">
        <f t="shared" si="37"/>
        <v>  -   </v>
      </c>
      <c r="G180" s="88" t="str">
        <f t="shared" si="37"/>
        <v>  -   </v>
      </c>
      <c r="H180" s="88" t="str">
        <f t="shared" si="37"/>
        <v>  -   </v>
      </c>
      <c r="I180" s="88" t="str">
        <f t="shared" si="37"/>
        <v>  -   </v>
      </c>
      <c r="J180" s="88" t="str">
        <f t="shared" si="37"/>
        <v>  -   </v>
      </c>
    </row>
    <row r="181">
      <c r="A181" s="87" t="s">
        <v>721</v>
      </c>
      <c r="B181" s="157">
        <v>2.0</v>
      </c>
      <c r="C181" s="391"/>
      <c r="D181" s="88" t="str">
        <f t="shared" ref="D181:J181" si="38">$B$181*$C$181*12*D149</f>
        <v>  -   </v>
      </c>
      <c r="E181" s="88" t="str">
        <f t="shared" si="38"/>
        <v>  -   </v>
      </c>
      <c r="F181" s="88" t="str">
        <f t="shared" si="38"/>
        <v>  -   </v>
      </c>
      <c r="G181" s="88" t="str">
        <f t="shared" si="38"/>
        <v>  -   </v>
      </c>
      <c r="H181" s="88" t="str">
        <f t="shared" si="38"/>
        <v>  -   </v>
      </c>
      <c r="I181" s="88" t="str">
        <f t="shared" si="38"/>
        <v>  -   </v>
      </c>
      <c r="J181" s="88" t="str">
        <f t="shared" si="38"/>
        <v>  -   </v>
      </c>
    </row>
    <row r="182">
      <c r="A182" s="87"/>
      <c r="B182" s="157"/>
      <c r="C182" s="391"/>
      <c r="D182" s="88"/>
      <c r="E182" s="88"/>
      <c r="F182" s="88"/>
      <c r="G182" s="88"/>
      <c r="H182" s="88"/>
      <c r="I182" s="88"/>
      <c r="J182" s="88"/>
    </row>
    <row r="183">
      <c r="A183" s="87"/>
      <c r="B183" s="157"/>
      <c r="C183" s="391"/>
      <c r="D183" s="88"/>
      <c r="E183" s="88"/>
      <c r="F183" s="88"/>
      <c r="G183" s="88"/>
      <c r="H183" s="88"/>
      <c r="I183" s="88"/>
      <c r="J183" s="88"/>
    </row>
    <row r="184">
      <c r="A184" s="87"/>
      <c r="B184" s="157"/>
      <c r="C184" s="391"/>
      <c r="D184" s="88"/>
      <c r="E184" s="88"/>
      <c r="F184" s="88"/>
      <c r="G184" s="88"/>
      <c r="H184" s="88"/>
      <c r="I184" s="88"/>
      <c r="J184" s="88"/>
    </row>
    <row r="185">
      <c r="A185" s="90" t="s">
        <v>457</v>
      </c>
      <c r="B185" s="90"/>
      <c r="C185" s="90"/>
      <c r="D185" s="91" t="str">
        <f t="shared" ref="D185:J185" si="39">SUM(D180:D184)</f>
        <v>  -   </v>
      </c>
      <c r="E185" s="91" t="str">
        <f t="shared" si="39"/>
        <v>  -   </v>
      </c>
      <c r="F185" s="91" t="str">
        <f t="shared" si="39"/>
        <v>  -   </v>
      </c>
      <c r="G185" s="91" t="str">
        <f t="shared" si="39"/>
        <v>  -   </v>
      </c>
      <c r="H185" s="91" t="str">
        <f t="shared" si="39"/>
        <v>  -   </v>
      </c>
      <c r="I185" s="91" t="str">
        <f t="shared" si="39"/>
        <v>  -   </v>
      </c>
      <c r="J185" s="91" t="str">
        <f t="shared" si="39"/>
        <v>  -   </v>
      </c>
    </row>
    <row r="186">
      <c r="A186" s="382" t="s">
        <v>658</v>
      </c>
      <c r="B186" s="382"/>
      <c r="C186" s="382"/>
      <c r="D186" s="91" t="str">
        <f t="shared" ref="D186:J186" si="40">D177+D185</f>
        <v>  -   </v>
      </c>
      <c r="E186" s="91" t="str">
        <f t="shared" si="40"/>
        <v>  -   </v>
      </c>
      <c r="F186" s="91" t="str">
        <f t="shared" si="40"/>
        <v>  -   </v>
      </c>
      <c r="G186" s="91" t="str">
        <f t="shared" si="40"/>
        <v>  -   </v>
      </c>
      <c r="H186" s="91" t="str">
        <f t="shared" si="40"/>
        <v>  -   </v>
      </c>
      <c r="I186" s="91" t="str">
        <f t="shared" si="40"/>
        <v>  -   </v>
      </c>
      <c r="J186" s="91" t="str">
        <f t="shared" si="40"/>
        <v>  -   </v>
      </c>
    </row>
    <row r="187">
      <c r="A187" s="87"/>
      <c r="B187" s="87"/>
      <c r="C187" s="87"/>
      <c r="D187" s="88"/>
      <c r="E187" s="88"/>
      <c r="F187" s="88"/>
      <c r="G187" s="88"/>
      <c r="H187" s="88"/>
      <c r="I187" s="88"/>
      <c r="J187" s="88"/>
    </row>
    <row r="188">
      <c r="A188" s="90" t="s">
        <v>504</v>
      </c>
      <c r="B188" s="90"/>
      <c r="C188" s="90"/>
      <c r="D188" s="91" t="str">
        <f t="shared" ref="D188:J188" si="41">D159-D186</f>
        <v>  -   </v>
      </c>
      <c r="E188" s="91" t="str">
        <f t="shared" si="41"/>
        <v>  -   </v>
      </c>
      <c r="F188" s="91" t="str">
        <f t="shared" si="41"/>
        <v>  -   </v>
      </c>
      <c r="G188" s="91" t="str">
        <f t="shared" si="41"/>
        <v>  -   </v>
      </c>
      <c r="H188" s="91" t="str">
        <f t="shared" si="41"/>
        <v>  -   </v>
      </c>
      <c r="I188" s="91" t="str">
        <f t="shared" si="41"/>
        <v>  -   </v>
      </c>
      <c r="J188" s="91" t="str">
        <f t="shared" si="41"/>
        <v>  -   </v>
      </c>
    </row>
    <row r="189">
      <c r="A189" s="94"/>
      <c r="B189" s="94"/>
      <c r="C189" s="94"/>
      <c r="D189" s="93"/>
      <c r="E189" s="93"/>
      <c r="F189" s="93"/>
      <c r="G189" s="93"/>
      <c r="H189" s="93"/>
      <c r="I189" s="93"/>
      <c r="J189" s="93"/>
    </row>
    <row r="190">
      <c r="A190" s="93"/>
      <c r="B190" s="93"/>
      <c r="C190" s="93"/>
      <c r="D190" s="93"/>
      <c r="E190" s="93"/>
      <c r="F190" s="93"/>
      <c r="G190" s="93"/>
      <c r="H190" s="93"/>
      <c r="I190" s="93"/>
      <c r="J190" s="93"/>
    </row>
    <row r="191">
      <c r="A191" s="93"/>
      <c r="B191" s="93"/>
      <c r="C191" s="93"/>
      <c r="D191" s="93"/>
      <c r="E191" s="93"/>
      <c r="F191" s="93"/>
      <c r="G191" s="93"/>
      <c r="H191" s="93"/>
      <c r="I191" s="93"/>
      <c r="J191" s="93"/>
    </row>
    <row r="192">
      <c r="A192" s="45" t="s">
        <v>673</v>
      </c>
    </row>
    <row r="194">
      <c r="A194" t="s">
        <v>413</v>
      </c>
    </row>
    <row r="195">
      <c r="A195">
        <v>1.0</v>
      </c>
      <c r="B195" t="s">
        <v>636</v>
      </c>
    </row>
    <row r="196">
      <c r="A196">
        <v>2.0</v>
      </c>
      <c r="B196" t="s">
        <v>637</v>
      </c>
      <c r="C196" s="34"/>
      <c r="D196" s="34"/>
      <c r="E196" s="34"/>
    </row>
    <row r="197">
      <c r="A197">
        <v>3.0</v>
      </c>
      <c r="B197" s="93" t="s">
        <v>638</v>
      </c>
    </row>
  </sheetData>
  <mergeCells count="4">
    <mergeCell ref="A3:H3"/>
    <mergeCell ref="A147:J147"/>
    <mergeCell ref="A192:J192"/>
    <mergeCell ref="A4:H4"/>
  </mergeCells>
  <printOptions/>
  <pageMargins bottom="0.75" footer="0.0" header="0.0" left="0.7" right="0.7" top="0.75"/>
  <pageSetup paperSize="9" orientation="portrait"/>
  <colBreaks count="1" manualBreakCount="1">
    <brk id="10" man="1"/>
  </colBreak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71"/>
    <col customWidth="1" min="8" max="8" width="35.29"/>
    <col customWidth="1" min="9" max="12" width="8.71"/>
  </cols>
  <sheetData>
    <row r="1"/>
    <row r="2"/>
    <row r="3"/>
    <row r="4"/>
    <row r="5"/>
    <row r="6"/>
    <row r="7"/>
    <row r="8">
      <c r="G8" s="396" t="s">
        <v>739</v>
      </c>
      <c r="H8" s="397" t="s">
        <v>740</v>
      </c>
      <c r="I8" s="398" t="s">
        <v>741</v>
      </c>
      <c r="J8" s="397" t="s">
        <v>220</v>
      </c>
      <c r="K8" s="399" t="s">
        <v>88</v>
      </c>
      <c r="L8" s="400" t="s">
        <v>742</v>
      </c>
    </row>
    <row r="9">
      <c r="G9" s="401"/>
      <c r="H9" s="402" t="s">
        <v>743</v>
      </c>
      <c r="I9" s="401"/>
      <c r="J9" s="402" t="s">
        <v>744</v>
      </c>
      <c r="K9" s="403" t="s">
        <v>206</v>
      </c>
      <c r="L9" s="404" t="s">
        <v>745</v>
      </c>
    </row>
    <row r="10">
      <c r="G10" s="405" t="s">
        <v>19</v>
      </c>
      <c r="H10" s="406" t="s">
        <v>746</v>
      </c>
      <c r="I10" s="407"/>
      <c r="J10" s="407"/>
      <c r="K10" s="407"/>
      <c r="L10" s="193"/>
    </row>
    <row r="11">
      <c r="G11" s="405" t="s">
        <v>747</v>
      </c>
      <c r="H11" s="408" t="s">
        <v>748</v>
      </c>
      <c r="I11" s="409"/>
      <c r="J11" s="409"/>
      <c r="K11" s="409"/>
      <c r="L11" s="409"/>
    </row>
    <row r="12">
      <c r="G12" s="410">
        <v>1.0</v>
      </c>
      <c r="H12" s="409" t="s">
        <v>749</v>
      </c>
      <c r="I12" s="409" t="s">
        <v>750</v>
      </c>
      <c r="J12" s="411">
        <v>11989.0</v>
      </c>
      <c r="K12" s="411">
        <v>1.0</v>
      </c>
      <c r="L12" s="411">
        <v>1.19887E7</v>
      </c>
    </row>
    <row r="13">
      <c r="G13" s="410">
        <v>2.0</v>
      </c>
      <c r="H13" s="409" t="s">
        <v>751</v>
      </c>
      <c r="I13" s="409" t="s">
        <v>752</v>
      </c>
      <c r="J13" s="411">
        <v>10129.0</v>
      </c>
      <c r="K13" s="411">
        <v>1.0</v>
      </c>
      <c r="L13" s="411">
        <v>3038600.0</v>
      </c>
    </row>
    <row r="14">
      <c r="G14" s="405" t="s">
        <v>753</v>
      </c>
      <c r="H14" s="408" t="s">
        <v>754</v>
      </c>
      <c r="I14" s="409"/>
      <c r="J14" s="409"/>
      <c r="K14" s="409"/>
      <c r="L14" s="409"/>
    </row>
    <row r="15" ht="22.5" customHeight="1">
      <c r="G15" s="410">
        <v>1.0</v>
      </c>
      <c r="H15" s="409" t="s">
        <v>232</v>
      </c>
      <c r="I15" s="412" t="s">
        <v>233</v>
      </c>
      <c r="J15" s="411">
        <v>1976205.0</v>
      </c>
      <c r="K15" s="413">
        <v>1.0</v>
      </c>
      <c r="L15" s="411" t="str">
        <f t="shared" ref="L15:L22" si="1">+J15*K15</f>
        <v>1976205</v>
      </c>
    </row>
    <row r="16" ht="22.5" customHeight="1">
      <c r="G16" s="410" t="str">
        <f t="shared" ref="G16:G22" si="2">+G15+1</f>
        <v>2</v>
      </c>
      <c r="H16" s="409" t="s">
        <v>234</v>
      </c>
      <c r="I16" s="411" t="s">
        <v>235</v>
      </c>
      <c r="J16" s="411">
        <v>814200.0</v>
      </c>
      <c r="K16" s="413">
        <v>1.0</v>
      </c>
      <c r="L16" s="411" t="str">
        <f t="shared" si="1"/>
        <v>814200</v>
      </c>
    </row>
    <row r="17" ht="22.5" customHeight="1">
      <c r="G17" s="410" t="str">
        <f t="shared" si="2"/>
        <v>3</v>
      </c>
      <c r="H17" s="409" t="s">
        <v>236</v>
      </c>
      <c r="I17" s="412" t="s">
        <v>237</v>
      </c>
      <c r="J17" s="411">
        <v>750000.0</v>
      </c>
      <c r="K17" s="413">
        <v>1.0</v>
      </c>
      <c r="L17" s="411" t="str">
        <f t="shared" si="1"/>
        <v>750000</v>
      </c>
    </row>
    <row r="18" ht="22.5" customHeight="1">
      <c r="G18" s="410" t="str">
        <f t="shared" si="2"/>
        <v>4</v>
      </c>
      <c r="H18" s="409" t="s">
        <v>238</v>
      </c>
      <c r="I18" s="411" t="s">
        <v>755</v>
      </c>
      <c r="J18" s="411">
        <v>35400.0</v>
      </c>
      <c r="K18" s="413">
        <v>3.0</v>
      </c>
      <c r="L18" s="411" t="str">
        <f t="shared" si="1"/>
        <v>106200</v>
      </c>
    </row>
    <row r="19" ht="22.5" customHeight="1">
      <c r="G19" s="410" t="str">
        <f t="shared" si="2"/>
        <v>5</v>
      </c>
      <c r="H19" s="409" t="s">
        <v>756</v>
      </c>
      <c r="I19" s="412" t="s">
        <v>757</v>
      </c>
      <c r="J19" s="411">
        <v>209000.0</v>
      </c>
      <c r="K19" s="413">
        <v>1.0</v>
      </c>
      <c r="L19" s="411" t="str">
        <f t="shared" si="1"/>
        <v>209000</v>
      </c>
    </row>
    <row r="20" ht="22.5" customHeight="1">
      <c r="G20" s="410" t="str">
        <f t="shared" si="2"/>
        <v>6</v>
      </c>
      <c r="H20" s="409" t="s">
        <v>758</v>
      </c>
      <c r="I20" s="412" t="s">
        <v>759</v>
      </c>
      <c r="J20" s="411">
        <v>180500.0</v>
      </c>
      <c r="K20" s="413">
        <v>1.0</v>
      </c>
      <c r="L20" s="411" t="str">
        <f t="shared" si="1"/>
        <v>180500</v>
      </c>
    </row>
    <row r="21" ht="22.5" customHeight="1">
      <c r="G21" s="410" t="str">
        <f t="shared" si="2"/>
        <v>7</v>
      </c>
      <c r="H21" s="409" t="s">
        <v>760</v>
      </c>
      <c r="I21" s="409" t="s">
        <v>761</v>
      </c>
      <c r="J21" s="409">
        <v>1681500.0</v>
      </c>
      <c r="K21" s="413">
        <v>1.0</v>
      </c>
      <c r="L21" s="411" t="str">
        <f t="shared" si="1"/>
        <v>1681500</v>
      </c>
    </row>
    <row r="22" ht="22.5" customHeight="1">
      <c r="G22" s="410" t="str">
        <f t="shared" si="2"/>
        <v>8</v>
      </c>
      <c r="H22" s="409" t="s">
        <v>762</v>
      </c>
      <c r="I22" s="409" t="s">
        <v>759</v>
      </c>
      <c r="J22" s="409">
        <v>944000.0</v>
      </c>
      <c r="K22" s="413">
        <v>1.0</v>
      </c>
      <c r="L22" s="411" t="str">
        <f t="shared" si="1"/>
        <v>944000</v>
      </c>
    </row>
    <row r="23" ht="22.5" customHeight="1">
      <c r="G23" s="405" t="s">
        <v>763</v>
      </c>
      <c r="H23" s="408" t="s">
        <v>764</v>
      </c>
      <c r="I23" s="409"/>
      <c r="J23" s="409"/>
      <c r="K23" s="409"/>
      <c r="L23" s="409"/>
    </row>
    <row r="24" ht="22.5" customHeight="1">
      <c r="G24" s="410">
        <v>1.0</v>
      </c>
      <c r="H24" s="408" t="s">
        <v>249</v>
      </c>
      <c r="I24" s="409"/>
      <c r="J24" s="411">
        <v>64500.0</v>
      </c>
      <c r="K24" s="411">
        <v>1.0</v>
      </c>
      <c r="L24" s="411">
        <v>64500.0</v>
      </c>
    </row>
    <row r="25" ht="22.5" customHeight="1">
      <c r="G25" s="410"/>
      <c r="H25" s="408" t="s">
        <v>765</v>
      </c>
      <c r="I25" s="409"/>
      <c r="J25" s="409"/>
      <c r="K25" s="409"/>
      <c r="L25" s="409"/>
    </row>
    <row r="26" ht="22.5" customHeight="1">
      <c r="G26" s="405" t="s">
        <v>61</v>
      </c>
      <c r="H26" s="406" t="s">
        <v>766</v>
      </c>
      <c r="I26" s="414"/>
      <c r="J26" s="414"/>
      <c r="K26" s="414"/>
      <c r="L26" s="415"/>
    </row>
    <row r="27" ht="22.5" customHeight="1">
      <c r="G27" s="410" t="s">
        <v>63</v>
      </c>
      <c r="H27" s="408" t="s">
        <v>748</v>
      </c>
      <c r="I27" s="409"/>
      <c r="J27" s="409"/>
      <c r="K27" s="409"/>
      <c r="L27" s="409"/>
    </row>
    <row r="28" ht="22.5" customHeight="1">
      <c r="G28" s="410">
        <v>1.0</v>
      </c>
      <c r="H28" s="409"/>
      <c r="I28" s="409"/>
      <c r="J28" s="409"/>
      <c r="K28" s="409"/>
      <c r="L28" s="409"/>
    </row>
    <row r="29" ht="22.5" customHeight="1">
      <c r="G29" s="405" t="s">
        <v>66</v>
      </c>
      <c r="H29" s="408" t="s">
        <v>754</v>
      </c>
      <c r="I29" s="409"/>
      <c r="J29" s="409"/>
      <c r="K29" s="409"/>
      <c r="L29" s="409"/>
    </row>
    <row r="30" ht="22.5" customHeight="1">
      <c r="G30" s="410"/>
      <c r="H30" s="409"/>
      <c r="I30" s="409"/>
      <c r="J30" s="409"/>
      <c r="K30" s="409"/>
      <c r="L30" s="409"/>
    </row>
    <row r="31" ht="22.5" customHeight="1">
      <c r="G31" s="405" t="s">
        <v>69</v>
      </c>
      <c r="H31" s="408" t="s">
        <v>764</v>
      </c>
      <c r="I31" s="409"/>
      <c r="J31" s="409"/>
      <c r="K31" s="409"/>
      <c r="L31" s="409"/>
    </row>
    <row r="32" ht="22.5" customHeight="1">
      <c r="G32" s="410"/>
      <c r="H32" s="408" t="s">
        <v>767</v>
      </c>
      <c r="I32" s="409"/>
      <c r="J32" s="409"/>
      <c r="K32" s="409"/>
      <c r="L32" s="409"/>
    </row>
    <row r="33" ht="22.5" customHeight="1">
      <c r="G33" s="410"/>
      <c r="H33" s="408" t="s">
        <v>768</v>
      </c>
      <c r="I33" s="409"/>
      <c r="J33" s="409"/>
      <c r="K33" s="409"/>
      <c r="L33" s="416" t="str">
        <f>+SUM(L12:L32)</f>
        <v>21,753,405</v>
      </c>
    </row>
  </sheetData>
  <mergeCells count="3">
    <mergeCell ref="G8:G9"/>
    <mergeCell ref="I8:I9"/>
    <mergeCell ref="H10:L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29"/>
    <col customWidth="1" min="4" max="4" width="15.0"/>
    <col customWidth="1" min="5" max="5" width="16.0"/>
    <col customWidth="1" min="6" max="6" width="17.86"/>
    <col customWidth="1" min="7" max="8" width="8.71"/>
    <col customWidth="1" min="9" max="9" width="11.43"/>
    <col customWidth="1" min="10" max="16" width="8.71"/>
  </cols>
  <sheetData>
    <row r="1"/>
    <row r="2">
      <c r="B2" s="25" t="s">
        <v>80</v>
      </c>
    </row>
    <row r="3"/>
    <row r="4">
      <c r="B4" s="26" t="s">
        <v>81</v>
      </c>
      <c r="C4" s="26" t="s">
        <v>82</v>
      </c>
      <c r="D4" s="26" t="s">
        <v>83</v>
      </c>
      <c r="E4" s="27" t="s">
        <v>84</v>
      </c>
      <c r="F4" s="27" t="s">
        <v>85</v>
      </c>
    </row>
    <row r="5">
      <c r="B5" s="28">
        <v>1.0</v>
      </c>
      <c r="C5" s="29" t="str">
        <f>'2.Capex Details'!B2</f>
        <v>Land and Building</v>
      </c>
      <c r="D5" s="30" t="str">
        <f>'2.Capex Details'!G12</f>
        <v>  17,569,762 </v>
      </c>
      <c r="E5" s="31">
        <v>0.6</v>
      </c>
      <c r="F5" s="32" t="str">
        <f t="shared" ref="F5:F10" si="1">D5*E5</f>
        <v>  10,541,857 </v>
      </c>
    </row>
    <row r="6">
      <c r="B6" s="28">
        <v>2.0</v>
      </c>
      <c r="C6" s="29" t="str">
        <f>'2.Capex Details'!B17</f>
        <v>Machinery and Equipment</v>
      </c>
      <c r="D6" s="30" t="str">
        <f>'2.Capex Details'!G66</f>
        <v>  7,732,318 </v>
      </c>
      <c r="E6" s="31">
        <v>0.6</v>
      </c>
      <c r="F6" s="32" t="str">
        <f t="shared" si="1"/>
        <v>  4,639,391 </v>
      </c>
    </row>
    <row r="7">
      <c r="B7" s="28">
        <v>3.0</v>
      </c>
      <c r="C7" s="29" t="str">
        <f>'2.Capex Details'!B72</f>
        <v>Furniture and Fixture</v>
      </c>
      <c r="D7" s="30" t="str">
        <f>'2.Capex Details'!F81</f>
        <v>  209,000 </v>
      </c>
      <c r="E7" s="31">
        <v>0.6</v>
      </c>
      <c r="F7" s="32" t="str">
        <f t="shared" si="1"/>
        <v>  125,400 </v>
      </c>
      <c r="I7" t="str">
        <f>180*40*17</f>
        <v>122400</v>
      </c>
    </row>
    <row r="8">
      <c r="B8" s="28">
        <v>4.0</v>
      </c>
      <c r="C8" s="29" t="str">
        <f>'2.Capex Details'!B86</f>
        <v>IT &amp; It Infrastracture</v>
      </c>
      <c r="D8" s="30" t="str">
        <f>'2.Capex Details'!F95</f>
        <v>  180,500 </v>
      </c>
      <c r="E8" s="31">
        <v>0.6</v>
      </c>
      <c r="F8" s="32" t="str">
        <f t="shared" si="1"/>
        <v>  108,300 </v>
      </c>
    </row>
    <row r="9">
      <c r="B9" s="28">
        <v>5.0</v>
      </c>
      <c r="C9" s="29" t="str">
        <f>'2.Capex Details'!B100</f>
        <v>Transport vehical  (Refer van and other)</v>
      </c>
      <c r="D9" s="30" t="str">
        <f>'2.Capex Details'!F106</f>
        <v>  -   </v>
      </c>
      <c r="E9" s="31">
        <v>0.6</v>
      </c>
      <c r="F9" s="32" t="str">
        <f t="shared" si="1"/>
        <v>  -   </v>
      </c>
      <c r="I9" t="str">
        <f>1050200+398613</f>
        <v>1448813</v>
      </c>
    </row>
    <row r="10">
      <c r="B10" s="28">
        <v>6.0</v>
      </c>
      <c r="C10" s="29" t="str">
        <f>'2.Capex Details'!B110</f>
        <v>Preliminary Expenses</v>
      </c>
      <c r="D10" s="30" t="str">
        <f>'2.Capex Details'!D117</f>
        <v>  1,162,713 </v>
      </c>
      <c r="E10" s="31">
        <v>0.6</v>
      </c>
      <c r="F10" s="32" t="str">
        <f t="shared" si="1"/>
        <v>  697,628 </v>
      </c>
      <c r="L10" t="s">
        <v>86</v>
      </c>
    </row>
    <row r="11">
      <c r="B11" s="28">
        <v>7.0</v>
      </c>
      <c r="C11" s="29" t="s">
        <v>87</v>
      </c>
      <c r="D11" s="30" t="str">
        <f>'5.Closing Stock &amp; W Capital'!E56</f>
        <v>  1,475,930 </v>
      </c>
      <c r="E11" s="33"/>
      <c r="F11" s="33">
        <v>0.0</v>
      </c>
      <c r="I11" s="34" t="str">
        <f>+F12-F10-F8-F7</f>
        <v>  15,181,248 </v>
      </c>
    </row>
    <row r="12">
      <c r="B12" s="35" t="s">
        <v>88</v>
      </c>
      <c r="C12" s="6"/>
      <c r="D12" s="36" t="str">
        <f>SUM(D5:D11)</f>
        <v>  28,330,223 </v>
      </c>
      <c r="E12" s="33"/>
      <c r="F12" s="36" t="str">
        <f>SUM(F5:F11)</f>
        <v>  16,112,576 </v>
      </c>
    </row>
    <row r="13">
      <c r="D13" s="37"/>
      <c r="E13" s="34"/>
      <c r="H13" s="34"/>
      <c r="M13">
        <v>48.0</v>
      </c>
    </row>
    <row r="14" ht="25.5" customHeight="1">
      <c r="A14" s="38" t="s">
        <v>89</v>
      </c>
      <c r="I14" t="str">
        <f>20000000/60%</f>
        <v>33333333.33</v>
      </c>
      <c r="M14">
        <v>11.64</v>
      </c>
    </row>
    <row r="15">
      <c r="M15" t="str">
        <f>M13+M14</f>
        <v>59.64</v>
      </c>
    </row>
    <row r="16">
      <c r="B16" s="25" t="s">
        <v>90</v>
      </c>
      <c r="J16" t="str">
        <f>110000+2400+3600+960+1000+4400+36000</f>
        <v>158360</v>
      </c>
      <c r="M16">
        <v>19.05</v>
      </c>
    </row>
    <row r="17">
      <c r="J17" t="str">
        <f>+J16/2200</f>
        <v>71.98181818</v>
      </c>
      <c r="M17" t="str">
        <f>M15+M16</f>
        <v>78.69</v>
      </c>
    </row>
    <row r="18">
      <c r="B18" s="39" t="s">
        <v>81</v>
      </c>
      <c r="C18" s="26" t="s">
        <v>82</v>
      </c>
      <c r="D18" s="26" t="s">
        <v>91</v>
      </c>
      <c r="E18" s="26" t="s">
        <v>83</v>
      </c>
    </row>
    <row r="19">
      <c r="B19" s="28">
        <v>1.0</v>
      </c>
      <c r="C19" s="29" t="s">
        <v>92</v>
      </c>
      <c r="D19" s="40"/>
      <c r="E19" s="41" t="str">
        <f>F12</f>
        <v>  16,112,576 </v>
      </c>
    </row>
    <row r="20">
      <c r="B20" s="28">
        <v>2.0</v>
      </c>
      <c r="C20" s="29" t="s">
        <v>93</v>
      </c>
      <c r="D20" s="40">
        <v>0.3</v>
      </c>
      <c r="E20" s="41" t="str">
        <f>SUM(D5:D9)*D20</f>
        <v>  7,707,474 </v>
      </c>
    </row>
    <row r="21">
      <c r="B21" s="28">
        <v>3.0</v>
      </c>
      <c r="C21" s="29" t="s">
        <v>94</v>
      </c>
      <c r="D21" s="41"/>
      <c r="E21" s="41" t="str">
        <f>D12-E19-E20</f>
        <v>  4,510,173 </v>
      </c>
      <c r="L21" s="42" t="s">
        <v>95</v>
      </c>
      <c r="M21" s="42"/>
      <c r="N21" s="42" t="s">
        <v>95</v>
      </c>
      <c r="O21" s="42"/>
      <c r="P21" s="42" t="s">
        <v>96</v>
      </c>
    </row>
    <row r="22">
      <c r="B22" s="35" t="s">
        <v>88</v>
      </c>
      <c r="C22" s="6"/>
      <c r="D22" s="43"/>
      <c r="E22" s="43" t="str">
        <f>SUM(E19:E21)</f>
        <v>  28,330,223 </v>
      </c>
      <c r="I22" t="str">
        <f>95/5</f>
        <v>19</v>
      </c>
      <c r="L22" s="42" t="s">
        <v>97</v>
      </c>
      <c r="M22" s="42"/>
      <c r="N22" s="44" t="s">
        <v>98</v>
      </c>
      <c r="O22" s="42"/>
      <c r="P22" s="42" t="str">
        <f>(110000-5000)/5</f>
        <v>21000</v>
      </c>
    </row>
    <row r="23">
      <c r="L23" s="42" t="s">
        <v>99</v>
      </c>
      <c r="M23" s="42"/>
      <c r="N23" s="42" t="s">
        <v>100</v>
      </c>
      <c r="O23" s="42"/>
      <c r="P23" s="42" t="str">
        <f>200*12</f>
        <v>2400</v>
      </c>
    </row>
    <row r="24">
      <c r="B24" s="45" t="s">
        <v>101</v>
      </c>
      <c r="L24" s="42" t="s">
        <v>102</v>
      </c>
      <c r="M24" s="42"/>
      <c r="N24" s="44" t="s">
        <v>103</v>
      </c>
      <c r="O24" s="42"/>
      <c r="P24" s="42" t="str">
        <f>3600/4</f>
        <v>900</v>
      </c>
    </row>
    <row r="25">
      <c r="L25" s="42" t="s">
        <v>104</v>
      </c>
      <c r="M25" s="42"/>
      <c r="N25" s="42"/>
      <c r="O25" s="42"/>
      <c r="P25" s="42">
        <v>960.0</v>
      </c>
    </row>
    <row r="26">
      <c r="B26" s="25" t="s">
        <v>105</v>
      </c>
      <c r="L26" s="42" t="s">
        <v>106</v>
      </c>
      <c r="M26" s="42"/>
      <c r="N26" s="42"/>
      <c r="O26" s="42"/>
      <c r="P26" s="42">
        <v>1000.0</v>
      </c>
    </row>
    <row r="27">
      <c r="B27" s="46" t="s">
        <v>81</v>
      </c>
      <c r="C27" s="47" t="s">
        <v>107</v>
      </c>
      <c r="D27" s="48" t="s">
        <v>108</v>
      </c>
      <c r="E27" s="49" t="s">
        <v>109</v>
      </c>
      <c r="F27" s="50" t="s">
        <v>110</v>
      </c>
      <c r="G27" s="51"/>
      <c r="L27" s="42" t="s">
        <v>111</v>
      </c>
      <c r="M27" s="42"/>
      <c r="N27" s="44" t="s">
        <v>112</v>
      </c>
      <c r="O27" s="42"/>
      <c r="P27" s="42" t="str">
        <f>+(2200*10)/10*20</f>
        <v>44000</v>
      </c>
    </row>
    <row r="28">
      <c r="B28" s="52">
        <v>1.0</v>
      </c>
      <c r="C28" s="29" t="s">
        <v>113</v>
      </c>
      <c r="D28" s="53" t="str">
        <f>'9. Financial indiacators'!C49</f>
        <v>40.47%</v>
      </c>
      <c r="E28" s="52" t="s">
        <v>114</v>
      </c>
      <c r="F28" s="54" t="s">
        <v>115</v>
      </c>
      <c r="G28" s="52"/>
      <c r="H28" s="55" t="s">
        <v>116</v>
      </c>
      <c r="I28" s="56"/>
      <c r="L28" s="42" t="s">
        <v>117</v>
      </c>
      <c r="M28" s="42"/>
      <c r="N28" s="57">
        <v>10.0</v>
      </c>
      <c r="O28" s="42"/>
      <c r="P28" s="42" t="str">
        <f>600*12</f>
        <v>7200</v>
      </c>
    </row>
    <row r="29">
      <c r="B29" s="52">
        <v>2.0</v>
      </c>
      <c r="C29" s="29" t="s">
        <v>118</v>
      </c>
      <c r="D29" s="53" t="str">
        <f>'9. Financial indiacators'!C85</f>
        <v>18.21%</v>
      </c>
      <c r="E29" s="52" t="s">
        <v>114</v>
      </c>
      <c r="F29" s="54" t="s">
        <v>119</v>
      </c>
      <c r="G29" s="52"/>
      <c r="H29" s="58" t="s">
        <v>120</v>
      </c>
      <c r="I29" s="56"/>
      <c r="L29" s="42"/>
      <c r="M29" s="42"/>
      <c r="N29" s="42"/>
      <c r="O29" s="42"/>
      <c r="P29" s="42" t="str">
        <f>+SUM(P22:P28)</f>
        <v>77460</v>
      </c>
    </row>
    <row r="30">
      <c r="B30" s="52">
        <v>3.0</v>
      </c>
      <c r="C30" s="29" t="s">
        <v>121</v>
      </c>
      <c r="D30" s="53" t="str">
        <f>'9. Financial indiacators'!C16</f>
        <v>11.01%</v>
      </c>
      <c r="E30" s="52" t="s">
        <v>114</v>
      </c>
      <c r="F30" s="54" t="s">
        <v>122</v>
      </c>
      <c r="G30" s="52"/>
      <c r="H30" s="58" t="s">
        <v>123</v>
      </c>
      <c r="I30" s="56"/>
      <c r="L30" s="42"/>
      <c r="M30" s="42"/>
      <c r="N30" s="42" t="s">
        <v>124</v>
      </c>
      <c r="O30" s="42"/>
      <c r="P30" s="42">
        <v>2200.0</v>
      </c>
    </row>
    <row r="31">
      <c r="B31" s="52">
        <v>4.0</v>
      </c>
      <c r="C31" s="29" t="s">
        <v>125</v>
      </c>
      <c r="D31" s="59" t="str">
        <f>'9. Financial indiacators'!C73</f>
        <v>1,110,205</v>
      </c>
      <c r="E31" s="52" t="s">
        <v>126</v>
      </c>
      <c r="F31" s="54" t="s">
        <v>127</v>
      </c>
      <c r="G31" s="52"/>
      <c r="H31" s="60"/>
      <c r="I31" s="56"/>
      <c r="L31" s="42"/>
      <c r="M31" s="42"/>
      <c r="N31" s="42"/>
      <c r="O31" s="42"/>
      <c r="P31" s="42" t="str">
        <f>+P29/P30</f>
        <v>35.20909091</v>
      </c>
    </row>
    <row r="32">
      <c r="B32" s="52">
        <v>5.0</v>
      </c>
      <c r="C32" s="29" t="s">
        <v>128</v>
      </c>
      <c r="D32" s="61" t="str">
        <f>'9. Financial indiacators'!D101</f>
        <v>5.20</v>
      </c>
      <c r="E32" s="52" t="s">
        <v>114</v>
      </c>
      <c r="F32" s="54" t="s">
        <v>129</v>
      </c>
      <c r="G32" s="52"/>
      <c r="H32" s="55" t="s">
        <v>130</v>
      </c>
      <c r="I32" s="56"/>
    </row>
    <row r="33">
      <c r="B33" s="52">
        <v>6.0</v>
      </c>
      <c r="C33" s="62" t="s">
        <v>131</v>
      </c>
      <c r="D33" s="61" t="str">
        <f>'9. Financial indiacators'!C117</f>
        <v>1.77</v>
      </c>
      <c r="E33" s="63" t="s">
        <v>114</v>
      </c>
      <c r="F33" s="54" t="s">
        <v>132</v>
      </c>
      <c r="G33" s="62"/>
      <c r="H33" s="60" t="s">
        <v>133</v>
      </c>
      <c r="I33" s="56"/>
    </row>
    <row r="34">
      <c r="H34" s="60"/>
      <c r="I34" s="56"/>
    </row>
    <row r="35">
      <c r="H35" s="60"/>
      <c r="I35" s="56"/>
    </row>
  </sheetData>
  <mergeCells count="8">
    <mergeCell ref="F27:G27"/>
    <mergeCell ref="B26:F26"/>
    <mergeCell ref="B12:C12"/>
    <mergeCell ref="B22:C22"/>
    <mergeCell ref="B2:F2"/>
    <mergeCell ref="B16:F16"/>
    <mergeCell ref="B24:F24"/>
    <mergeCell ref="A14:F14"/>
  </mergeCells>
  <conditionalFormatting sqref="D23">
    <cfRule type="cellIs" dxfId="0" priority="1" operator="greaterThan">
      <formula>0</formula>
    </cfRule>
  </conditionalFormatting>
  <printOptions/>
  <pageMargins bottom="0.75" footer="0.0" header="0.0" left="0.7" right="0.7" top="0.75"/>
  <pageSetup scale="89"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7" width="8.71"/>
  </cols>
  <sheetData>
    <row r="1"/>
    <row r="2"/>
    <row r="3"/>
    <row r="4"/>
    <row r="5"/>
    <row r="6"/>
    <row r="7"/>
    <row r="8">
      <c r="F8" s="417"/>
      <c r="G8" s="418"/>
      <c r="H8" s="400" t="s">
        <v>769</v>
      </c>
      <c r="I8" s="419"/>
      <c r="J8" s="420"/>
      <c r="K8" s="421"/>
      <c r="L8" s="418"/>
      <c r="M8" s="400" t="s">
        <v>770</v>
      </c>
      <c r="N8" s="422"/>
      <c r="O8" s="422"/>
      <c r="P8" s="422"/>
      <c r="Q8" s="418"/>
    </row>
    <row r="9">
      <c r="F9" s="423" t="s">
        <v>771</v>
      </c>
      <c r="G9" s="424"/>
      <c r="H9" s="425" t="s">
        <v>772</v>
      </c>
      <c r="I9" s="426" t="s">
        <v>773</v>
      </c>
      <c r="J9" s="427"/>
      <c r="K9" s="428"/>
      <c r="L9" s="424"/>
      <c r="M9" s="425" t="s">
        <v>774</v>
      </c>
      <c r="N9" s="425" t="s">
        <v>775</v>
      </c>
      <c r="O9" s="425" t="s">
        <v>776</v>
      </c>
      <c r="P9" s="425" t="s">
        <v>777</v>
      </c>
      <c r="Q9" s="429"/>
    </row>
    <row r="10">
      <c r="F10" s="430"/>
      <c r="G10" s="431" t="s">
        <v>778</v>
      </c>
      <c r="H10" s="425" t="s">
        <v>779</v>
      </c>
      <c r="I10" s="432" t="s">
        <v>780</v>
      </c>
      <c r="J10" s="433"/>
      <c r="K10" s="433"/>
      <c r="L10" s="434" t="s">
        <v>781</v>
      </c>
      <c r="M10" s="435"/>
      <c r="N10" s="435"/>
      <c r="O10" s="435"/>
      <c r="P10" s="435"/>
      <c r="Q10" s="434" t="s">
        <v>782</v>
      </c>
    </row>
    <row r="11">
      <c r="F11" s="436"/>
      <c r="G11" s="437"/>
      <c r="H11" s="437"/>
      <c r="I11" s="401"/>
      <c r="J11" s="402" t="s">
        <v>258</v>
      </c>
      <c r="K11" s="438" t="s">
        <v>460</v>
      </c>
      <c r="L11" s="437"/>
      <c r="M11" s="437"/>
      <c r="N11" s="437"/>
      <c r="O11" s="437"/>
      <c r="P11" s="437"/>
      <c r="Q11" s="437"/>
    </row>
    <row r="12">
      <c r="F12" s="439">
        <v>1.0</v>
      </c>
      <c r="G12" s="440">
        <v>2.0</v>
      </c>
      <c r="H12" s="440">
        <v>3.0</v>
      </c>
      <c r="I12" s="412">
        <v>4.0</v>
      </c>
      <c r="J12" s="412">
        <v>5.0</v>
      </c>
      <c r="K12" s="440">
        <v>6.0</v>
      </c>
      <c r="L12" s="440">
        <v>7.0</v>
      </c>
      <c r="M12" s="441">
        <v>8.0</v>
      </c>
      <c r="N12" s="440">
        <v>9.0</v>
      </c>
      <c r="O12" s="440">
        <v>10.0</v>
      </c>
      <c r="P12" s="440">
        <v>11.0</v>
      </c>
      <c r="Q12" s="440">
        <v>12.0</v>
      </c>
    </row>
    <row r="13">
      <c r="F13" s="442" t="s">
        <v>783</v>
      </c>
      <c r="G13" s="407"/>
      <c r="H13" s="407"/>
      <c r="I13" s="407"/>
      <c r="J13" s="407"/>
      <c r="K13" s="407"/>
      <c r="L13" s="407"/>
      <c r="M13" s="407"/>
      <c r="N13" s="407"/>
      <c r="O13" s="407"/>
      <c r="P13" s="407"/>
      <c r="Q13" s="193"/>
    </row>
    <row r="14">
      <c r="F14" s="443">
        <v>1.0</v>
      </c>
      <c r="G14" s="444" t="s">
        <v>749</v>
      </c>
      <c r="H14" s="445" t="s">
        <v>784</v>
      </c>
      <c r="I14" s="445">
        <v>1.0</v>
      </c>
      <c r="J14" s="446"/>
      <c r="K14" s="447">
        <v>1.50273E7</v>
      </c>
      <c r="L14" s="444" t="s">
        <v>785</v>
      </c>
      <c r="M14" s="445" t="s">
        <v>786</v>
      </c>
      <c r="N14" s="448" t="s">
        <v>787</v>
      </c>
      <c r="O14" s="446"/>
      <c r="P14" s="447">
        <v>1.50273E7</v>
      </c>
      <c r="Q14" s="444" t="s">
        <v>788</v>
      </c>
    </row>
    <row r="15" ht="23.25" customHeight="1">
      <c r="F15" s="449">
        <v>2.0</v>
      </c>
      <c r="G15" s="449" t="s">
        <v>789</v>
      </c>
      <c r="H15" s="449" t="s">
        <v>790</v>
      </c>
      <c r="I15" s="448">
        <v>1.0</v>
      </c>
      <c r="J15" s="449"/>
      <c r="K15" s="449"/>
      <c r="L15" s="449"/>
      <c r="M15" s="449"/>
      <c r="N15" s="449"/>
      <c r="O15" s="449"/>
      <c r="P15" s="449"/>
      <c r="Q15" s="449"/>
    </row>
    <row r="16">
      <c r="F16" s="401"/>
      <c r="G16" s="401"/>
      <c r="H16" s="401"/>
      <c r="I16" s="401"/>
      <c r="J16" s="401"/>
      <c r="K16" s="401"/>
      <c r="L16" s="401"/>
      <c r="M16" s="401"/>
      <c r="N16" s="401"/>
      <c r="O16" s="401"/>
      <c r="P16" s="401"/>
      <c r="Q16" s="401"/>
    </row>
    <row r="17">
      <c r="F17" s="450">
        <v>3.0</v>
      </c>
      <c r="G17" s="451"/>
      <c r="H17" s="451"/>
      <c r="I17" s="451"/>
      <c r="J17" s="451"/>
      <c r="K17" s="451"/>
      <c r="L17" s="451"/>
      <c r="M17" s="451"/>
      <c r="N17" s="451"/>
      <c r="O17" s="451"/>
      <c r="P17" s="451"/>
      <c r="Q17" s="451"/>
    </row>
    <row r="18">
      <c r="F18" s="442" t="s">
        <v>791</v>
      </c>
      <c r="G18" s="407"/>
      <c r="H18" s="407"/>
      <c r="I18" s="407"/>
      <c r="J18" s="407"/>
      <c r="K18" s="407"/>
      <c r="L18" s="407"/>
      <c r="M18" s="407"/>
      <c r="N18" s="407"/>
      <c r="O18" s="407"/>
      <c r="P18" s="407"/>
      <c r="Q18" s="193"/>
    </row>
    <row r="19">
      <c r="F19" s="452">
        <v>1.0</v>
      </c>
      <c r="G19" s="451"/>
      <c r="H19" s="451"/>
      <c r="I19" s="451"/>
      <c r="J19" s="451"/>
      <c r="K19" s="451"/>
      <c r="L19" s="451"/>
      <c r="M19" s="451"/>
      <c r="N19" s="451"/>
      <c r="O19" s="451"/>
      <c r="P19" s="451"/>
      <c r="Q19" s="451"/>
    </row>
    <row r="20">
      <c r="F20" s="453"/>
      <c r="G20" s="454"/>
      <c r="H20" s="455"/>
      <c r="I20" s="455"/>
      <c r="J20" s="449"/>
      <c r="K20" s="455"/>
      <c r="L20" s="456" t="s">
        <v>792</v>
      </c>
      <c r="M20" s="455"/>
      <c r="N20" s="449" t="s">
        <v>793</v>
      </c>
      <c r="O20" s="449"/>
      <c r="P20" s="455"/>
      <c r="Q20" s="457"/>
    </row>
    <row r="21">
      <c r="F21" s="453"/>
      <c r="G21" s="458"/>
      <c r="H21" s="455"/>
      <c r="I21" s="455"/>
      <c r="J21" s="459"/>
      <c r="K21" s="455"/>
      <c r="L21" s="456" t="s">
        <v>794</v>
      </c>
      <c r="M21" s="455"/>
      <c r="N21" s="459"/>
      <c r="O21" s="459"/>
      <c r="P21" s="455"/>
      <c r="Q21" s="460" t="s">
        <v>795</v>
      </c>
    </row>
    <row r="22">
      <c r="F22" s="452">
        <v>2.0</v>
      </c>
      <c r="G22" s="461" t="s">
        <v>796</v>
      </c>
      <c r="H22" s="445" t="s">
        <v>784</v>
      </c>
      <c r="I22" s="462">
        <v>1.0</v>
      </c>
      <c r="J22" s="401"/>
      <c r="K22" s="463">
        <v>6661105.0</v>
      </c>
      <c r="L22" s="464"/>
      <c r="M22" s="465" t="s">
        <v>786</v>
      </c>
      <c r="N22" s="401"/>
      <c r="O22" s="401"/>
      <c r="P22" s="463">
        <v>6661105.0</v>
      </c>
      <c r="Q22" s="464"/>
    </row>
    <row r="23">
      <c r="F23" s="452">
        <v>3.0</v>
      </c>
      <c r="G23" s="451"/>
      <c r="H23" s="451"/>
      <c r="I23" s="451"/>
      <c r="J23" s="451"/>
      <c r="K23" s="451"/>
      <c r="L23" s="451"/>
      <c r="M23" s="451"/>
      <c r="N23" s="451"/>
      <c r="O23" s="451"/>
      <c r="P23" s="451"/>
      <c r="Q23" s="451"/>
    </row>
  </sheetData>
  <mergeCells count="20">
    <mergeCell ref="J15:J16"/>
    <mergeCell ref="K15:K16"/>
    <mergeCell ref="I8:K8"/>
    <mergeCell ref="I9:K9"/>
    <mergeCell ref="I10:I11"/>
    <mergeCell ref="I15:I16"/>
    <mergeCell ref="O15:O16"/>
    <mergeCell ref="F18:Q18"/>
    <mergeCell ref="P15:P16"/>
    <mergeCell ref="Q15:Q16"/>
    <mergeCell ref="F15:F16"/>
    <mergeCell ref="G15:G16"/>
    <mergeCell ref="H15:H16"/>
    <mergeCell ref="J20:J22"/>
    <mergeCell ref="N20:N22"/>
    <mergeCell ref="O20:O22"/>
    <mergeCell ref="L15:L16"/>
    <mergeCell ref="M15:M16"/>
    <mergeCell ref="N15:N16"/>
    <mergeCell ref="F13:Q1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18.71"/>
    <col customWidth="1" min="4" max="5" width="16.43"/>
    <col customWidth="1" min="6" max="6" width="16.57"/>
    <col customWidth="1" min="7" max="9" width="15.86"/>
    <col customWidth="1" min="10" max="10" width="14.86"/>
    <col customWidth="1" min="11" max="11" width="14.43"/>
    <col customWidth="1" min="12" max="12" width="14.86"/>
    <col customWidth="1" min="13" max="18" width="11.86"/>
    <col customWidth="1" min="19" max="19" width="4.57"/>
  </cols>
  <sheetData>
    <row r="1"/>
    <row r="2"/>
    <row r="3"/>
    <row r="4"/>
    <row r="5">
      <c r="B5" s="64" t="s">
        <v>134</v>
      </c>
    </row>
    <row r="6">
      <c r="B6" s="65"/>
      <c r="C6" s="65"/>
      <c r="D6" s="65"/>
      <c r="E6" s="65"/>
      <c r="F6" s="65"/>
      <c r="G6" s="65"/>
      <c r="H6" s="65"/>
      <c r="I6" s="65"/>
      <c r="J6" s="65"/>
    </row>
    <row r="7">
      <c r="B7" s="66" t="s">
        <v>135</v>
      </c>
      <c r="C7" s="67" t="s">
        <v>136</v>
      </c>
      <c r="D7" s="67" t="s">
        <v>137</v>
      </c>
      <c r="E7" s="67" t="s">
        <v>138</v>
      </c>
      <c r="F7" s="67" t="s">
        <v>139</v>
      </c>
      <c r="G7" s="67" t="s">
        <v>140</v>
      </c>
      <c r="H7" s="67" t="s">
        <v>141</v>
      </c>
      <c r="I7" s="67" t="s">
        <v>142</v>
      </c>
      <c r="J7" s="67" t="s">
        <v>143</v>
      </c>
      <c r="L7" s="68"/>
    </row>
    <row r="8">
      <c r="B8" s="69"/>
      <c r="C8" s="69"/>
      <c r="D8" s="69"/>
      <c r="E8" s="69"/>
      <c r="F8" s="69"/>
      <c r="G8" s="69"/>
      <c r="H8" s="69"/>
      <c r="I8" s="69"/>
      <c r="J8" s="69"/>
    </row>
    <row r="9">
      <c r="B9" s="69" t="s">
        <v>144</v>
      </c>
      <c r="C9" s="69"/>
      <c r="D9" s="70" t="str">
        <f>'6.Cons Profit &amp; Loss'!B51</f>
        <v>2,636,860.98</v>
      </c>
      <c r="E9" s="70" t="str">
        <f>'6.Cons Profit &amp; Loss'!C51</f>
        <v>3,004,981.08</v>
      </c>
      <c r="F9" s="70" t="str">
        <f>'6.Cons Profit &amp; Loss'!D51</f>
        <v>3,864,079.47</v>
      </c>
      <c r="G9" s="70" t="str">
        <f>'6.Cons Profit &amp; Loss'!E51</f>
        <v>4,838,814.95</v>
      </c>
      <c r="H9" s="70" t="str">
        <f>'6.Cons Profit &amp; Loss'!F51</f>
        <v>5,917,404.04</v>
      </c>
      <c r="I9" s="70" t="str">
        <f>'6.Cons Profit &amp; Loss'!G51</f>
        <v>7,277,641.93</v>
      </c>
      <c r="J9" s="70" t="str">
        <f>'6.Cons Profit &amp; Loss'!H51</f>
        <v>8,581,931.82</v>
      </c>
    </row>
    <row r="10">
      <c r="B10" s="69"/>
      <c r="C10" s="69"/>
      <c r="D10" s="70"/>
      <c r="E10" s="70"/>
      <c r="F10" s="70"/>
      <c r="G10" s="70"/>
      <c r="H10" s="70"/>
      <c r="I10" s="70"/>
      <c r="J10" s="70"/>
    </row>
    <row r="11">
      <c r="B11" s="71" t="s">
        <v>145</v>
      </c>
      <c r="C11" s="71"/>
      <c r="D11" s="70" t="str">
        <f>'6.Cons Profit &amp; Loss'!B42</f>
        <v>1,085,367.18</v>
      </c>
      <c r="E11" s="70" t="str">
        <f>'6.Cons Profit &amp; Loss'!C42</f>
        <v>1,085,367.18</v>
      </c>
      <c r="F11" s="70" t="str">
        <f>'6.Cons Profit &amp; Loss'!D42</f>
        <v>1,085,367.18</v>
      </c>
      <c r="G11" s="70" t="str">
        <f>'6.Cons Profit &amp; Loss'!E42</f>
        <v>1,085,367.18</v>
      </c>
      <c r="H11" s="70" t="str">
        <f>'6.Cons Profit &amp; Loss'!F42</f>
        <v>1,085,367.18</v>
      </c>
      <c r="I11" s="70" t="str">
        <f>'6.Cons Profit &amp; Loss'!G42</f>
        <v>1,085,367.18</v>
      </c>
      <c r="J11" s="70" t="str">
        <f>'6.Cons Profit &amp; Loss'!H42</f>
        <v>1,085,367.18</v>
      </c>
    </row>
    <row r="12">
      <c r="B12" s="69" t="s">
        <v>146</v>
      </c>
      <c r="C12" s="69"/>
      <c r="D12" s="70" t="str">
        <f>'6.Cons Profit &amp; Loss'!B43</f>
        <v>232,542.60</v>
      </c>
      <c r="E12" s="70" t="str">
        <f>'6.Cons Profit &amp; Loss'!C43</f>
        <v>232,542.60</v>
      </c>
      <c r="F12" s="70" t="str">
        <f>'6.Cons Profit &amp; Loss'!D43</f>
        <v>232,542.60</v>
      </c>
      <c r="G12" s="70" t="str">
        <f>'6.Cons Profit &amp; Loss'!E43</f>
        <v>232,542.60</v>
      </c>
      <c r="H12" s="70" t="str">
        <f>'6.Cons Profit &amp; Loss'!F43</f>
        <v>232,542.60</v>
      </c>
      <c r="I12" s="70" t="str">
        <f>'6.Cons Profit &amp; Loss'!G43</f>
        <v>0.00</v>
      </c>
      <c r="J12" s="70" t="str">
        <f>'6.Cons Profit &amp; Loss'!H43</f>
        <v>0.00</v>
      </c>
    </row>
    <row r="13">
      <c r="B13" s="69"/>
      <c r="C13" s="69"/>
      <c r="D13" s="69"/>
      <c r="E13" s="69"/>
      <c r="F13" s="69"/>
      <c r="G13" s="69"/>
      <c r="H13" s="69"/>
      <c r="I13" s="69"/>
      <c r="J13" s="69"/>
    </row>
    <row r="14">
      <c r="B14" s="69" t="s">
        <v>147</v>
      </c>
      <c r="C14" s="69"/>
      <c r="D14" s="70" t="str">
        <f t="shared" ref="D14:J14" si="1">SUM(D9:D12)</f>
        <v>3,954,770.77</v>
      </c>
      <c r="E14" s="70" t="str">
        <f t="shared" si="1"/>
        <v>4,322,890.87</v>
      </c>
      <c r="F14" s="70" t="str">
        <f t="shared" si="1"/>
        <v>5,181,989.25</v>
      </c>
      <c r="G14" s="70" t="str">
        <f t="shared" si="1"/>
        <v>6,156,724.73</v>
      </c>
      <c r="H14" s="70" t="str">
        <f t="shared" si="1"/>
        <v>7,235,313.82</v>
      </c>
      <c r="I14" s="70" t="str">
        <f t="shared" si="1"/>
        <v>8,363,009.12</v>
      </c>
      <c r="J14" s="70" t="str">
        <f t="shared" si="1"/>
        <v>9,667,299.00</v>
      </c>
    </row>
    <row r="15">
      <c r="B15" s="69" t="s">
        <v>148</v>
      </c>
      <c r="C15" s="72" t="str">
        <f>-'1.Project Cost and MOF'!D12</f>
        <v>  (28,330,223.19)</v>
      </c>
      <c r="D15" s="70" t="str">
        <f t="shared" ref="D15:J15" si="2">D14</f>
        <v>3,954,770.77</v>
      </c>
      <c r="E15" s="70" t="str">
        <f t="shared" si="2"/>
        <v>4,322,890.87</v>
      </c>
      <c r="F15" s="70" t="str">
        <f t="shared" si="2"/>
        <v>5,181,989.25</v>
      </c>
      <c r="G15" s="70" t="str">
        <f t="shared" si="2"/>
        <v>6,156,724.73</v>
      </c>
      <c r="H15" s="70" t="str">
        <f t="shared" si="2"/>
        <v>7,235,313.82</v>
      </c>
      <c r="I15" s="70" t="str">
        <f t="shared" si="2"/>
        <v>8,363,009.12</v>
      </c>
      <c r="J15" s="70" t="str">
        <f t="shared" si="2"/>
        <v>9,667,299.00</v>
      </c>
    </row>
    <row r="16">
      <c r="B16" s="69" t="s">
        <v>149</v>
      </c>
      <c r="C16" s="73" t="str">
        <f>IRR(C15:J15)</f>
        <v>11.01%</v>
      </c>
      <c r="D16" s="70"/>
      <c r="E16" s="70"/>
      <c r="F16" s="70"/>
      <c r="G16" s="70"/>
      <c r="H16" s="70"/>
      <c r="I16" s="70"/>
      <c r="J16" s="70"/>
    </row>
    <row r="17">
      <c r="B17" s="69"/>
      <c r="C17" s="74"/>
      <c r="D17" s="69"/>
      <c r="E17" s="69"/>
      <c r="F17" s="69"/>
      <c r="G17" s="69"/>
      <c r="H17" s="69"/>
      <c r="I17" s="69"/>
      <c r="J17" s="69"/>
    </row>
    <row r="18">
      <c r="B18" s="75" t="s">
        <v>150</v>
      </c>
      <c r="C18" s="76"/>
      <c r="D18" s="77" t="str">
        <f>1/(1+$C$16)</f>
        <v>0.90</v>
      </c>
      <c r="E18" s="78" t="str">
        <f t="shared" ref="E18:J18" si="3">D18/(1+$C$16)</f>
        <v>0.81</v>
      </c>
      <c r="F18" s="78" t="str">
        <f t="shared" si="3"/>
        <v>0.73</v>
      </c>
      <c r="G18" s="78" t="str">
        <f t="shared" si="3"/>
        <v>0.66</v>
      </c>
      <c r="H18" s="78" t="str">
        <f t="shared" si="3"/>
        <v>0.59</v>
      </c>
      <c r="I18" s="78" t="str">
        <f t="shared" si="3"/>
        <v>0.53</v>
      </c>
      <c r="J18" s="78" t="str">
        <f t="shared" si="3"/>
        <v>0.48</v>
      </c>
      <c r="L18" s="79"/>
      <c r="M18" s="79"/>
      <c r="N18" s="79"/>
      <c r="O18" s="79"/>
      <c r="P18" s="79"/>
      <c r="Q18" s="79"/>
      <c r="R18" s="79"/>
      <c r="S18" s="79"/>
    </row>
    <row r="19">
      <c r="B19" s="69" t="s">
        <v>151</v>
      </c>
      <c r="C19" s="69"/>
      <c r="D19" s="70" t="str">
        <f t="shared" ref="D19:J19" si="4">D14*D18</f>
        <v>3,562,641.41</v>
      </c>
      <c r="E19" s="70" t="str">
        <f t="shared" si="4"/>
        <v>3,508,131.50</v>
      </c>
      <c r="F19" s="70" t="str">
        <f t="shared" si="4"/>
        <v>3,788,339.54</v>
      </c>
      <c r="G19" s="70" t="str">
        <f t="shared" si="4"/>
        <v>4,054,645.80</v>
      </c>
      <c r="H19" s="70" t="str">
        <f t="shared" si="4"/>
        <v>4,292,510.38</v>
      </c>
      <c r="I19" s="70" t="str">
        <f t="shared" si="4"/>
        <v>4,469,586.51</v>
      </c>
      <c r="J19" s="70" t="str">
        <f t="shared" si="4"/>
        <v>4,654,368.07</v>
      </c>
      <c r="L19" s="80"/>
    </row>
    <row r="20">
      <c r="B20" s="69" t="s">
        <v>152</v>
      </c>
      <c r="C20" s="69"/>
      <c r="D20" s="81" t="str">
        <f>SUM(D19:J19)</f>
        <v>28,330,223.19</v>
      </c>
      <c r="E20" s="5"/>
      <c r="F20" s="5"/>
      <c r="G20" s="5"/>
      <c r="H20" s="5"/>
      <c r="I20" s="5"/>
      <c r="J20" s="6"/>
      <c r="L20" s="80"/>
    </row>
    <row r="21">
      <c r="B21" s="69"/>
      <c r="C21" s="69"/>
      <c r="D21" s="70"/>
      <c r="E21" s="70"/>
      <c r="F21" s="70"/>
      <c r="G21" s="70"/>
      <c r="H21" s="70"/>
      <c r="I21" s="70"/>
      <c r="J21" s="70"/>
    </row>
    <row r="22">
      <c r="B22" s="82" t="s">
        <v>153</v>
      </c>
      <c r="C22" s="82"/>
      <c r="D22" s="83" t="str">
        <f>'1.Project Cost and MOF'!D12</f>
        <v>28,330,223.19</v>
      </c>
    </row>
    <row r="23">
      <c r="F23" s="79" t="str">
        <f>D20-D22</f>
        <v>0.00</v>
      </c>
    </row>
    <row r="24" ht="29.25" customHeight="1">
      <c r="B24" s="84" t="s">
        <v>154</v>
      </c>
    </row>
    <row r="25">
      <c r="K25" s="79"/>
      <c r="L25" s="79"/>
      <c r="M25" s="79"/>
    </row>
    <row r="26">
      <c r="B26" s="25" t="s">
        <v>155</v>
      </c>
    </row>
    <row r="27">
      <c r="K27" s="79"/>
    </row>
    <row r="28">
      <c r="B28" s="85" t="s">
        <v>156</v>
      </c>
      <c r="C28" s="86" t="s">
        <v>137</v>
      </c>
      <c r="D28" s="86" t="s">
        <v>138</v>
      </c>
      <c r="E28" s="86" t="s">
        <v>139</v>
      </c>
      <c r="F28" s="86" t="s">
        <v>140</v>
      </c>
      <c r="G28" s="86" t="s">
        <v>141</v>
      </c>
      <c r="H28" s="86" t="s">
        <v>142</v>
      </c>
      <c r="I28" s="86" t="s">
        <v>143</v>
      </c>
    </row>
    <row r="29">
      <c r="B29" s="87"/>
      <c r="C29" s="87"/>
      <c r="D29" s="87"/>
      <c r="E29" s="87"/>
      <c r="F29" s="87"/>
      <c r="G29" s="87"/>
      <c r="H29" s="87"/>
      <c r="I29" s="87"/>
    </row>
    <row r="30">
      <c r="B30" s="87" t="s">
        <v>157</v>
      </c>
      <c r="C30" s="87"/>
      <c r="D30" s="87"/>
      <c r="E30" s="87"/>
      <c r="F30" s="87"/>
      <c r="G30" s="87"/>
      <c r="H30" s="87"/>
      <c r="I30" s="87"/>
    </row>
    <row r="31">
      <c r="B31" s="87"/>
      <c r="C31" s="88"/>
      <c r="D31" s="88"/>
      <c r="E31" s="88"/>
      <c r="F31" s="88"/>
      <c r="G31" s="88"/>
      <c r="H31" s="88"/>
      <c r="I31" s="88"/>
    </row>
    <row r="32">
      <c r="B32" s="89" t="str">
        <f>'6.Cons Profit &amp; Loss'!A8</f>
        <v>Faclitiy 1 - Cleaning &amp; Grading</v>
      </c>
      <c r="C32" s="88" t="str">
        <f>'6.Cons Profit &amp; Loss'!B8</f>
        <v>  105,016,485 </v>
      </c>
      <c r="D32" s="88" t="str">
        <f>'6.Cons Profit &amp; Loss'!C8</f>
        <v>  123,478,761 </v>
      </c>
      <c r="E32" s="88" t="str">
        <f>'6.Cons Profit &amp; Loss'!D8</f>
        <v>  141,460,163 </v>
      </c>
      <c r="F32" s="88" t="str">
        <f>'6.Cons Profit &amp; Loss'!E8</f>
        <v>  160,931,007 </v>
      </c>
      <c r="G32" s="88" t="str">
        <f>'6.Cons Profit &amp; Loss'!F8</f>
        <v>  181,995,286 </v>
      </c>
      <c r="H32" s="88" t="str">
        <f>'6.Cons Profit &amp; Loss'!G8</f>
        <v>  204,763,664 </v>
      </c>
      <c r="I32" s="88" t="str">
        <f>'6.Cons Profit &amp; Loss'!H8</f>
        <v>  229,353,893 </v>
      </c>
    </row>
    <row r="33">
      <c r="B33" s="89" t="str">
        <f>'6.Cons Profit &amp; Loss'!A9</f>
        <v>Faclitiy 2 - Processing Unit - Dal Mill</v>
      </c>
      <c r="C33" s="88" t="str">
        <f>'6.Cons Profit &amp; Loss'!B9</f>
        <v>  43,657,662 </v>
      </c>
      <c r="D33" s="88" t="str">
        <f>'6.Cons Profit &amp; Loss'!C9</f>
        <v>  50,671,613 </v>
      </c>
      <c r="E33" s="88" t="str">
        <f>'6.Cons Profit &amp; Loss'!D9</f>
        <v>  58,018,451 </v>
      </c>
      <c r="F33" s="88" t="str">
        <f>'6.Cons Profit &amp; Loss'!E9</f>
        <v>  65,998,051 </v>
      </c>
      <c r="G33" s="88" t="str">
        <f>'6.Cons Profit &amp; Loss'!F9</f>
        <v>  74,630,565 </v>
      </c>
      <c r="H33" s="88" t="str">
        <f>'6.Cons Profit &amp; Loss'!G9</f>
        <v>  83,961,335 </v>
      </c>
      <c r="I33" s="88" t="str">
        <f>'6.Cons Profit &amp; Loss'!H9</f>
        <v>  94,038,606 </v>
      </c>
    </row>
    <row r="34">
      <c r="B34" s="89" t="str">
        <f>'6.Cons Profit &amp; Loss'!A10</f>
        <v>Faclitiy 3 - Warehouse</v>
      </c>
      <c r="C34" s="88" t="str">
        <f>'6.Cons Profit &amp; Loss'!B10</f>
        <v>  1,008,000 </v>
      </c>
      <c r="D34" s="88" t="str">
        <f>'6.Cons Profit &amp; Loss'!C10</f>
        <v>  1,134,000 </v>
      </c>
      <c r="E34" s="88" t="str">
        <f>'6.Cons Profit &amp; Loss'!D10</f>
        <v>  1,270,080 </v>
      </c>
      <c r="F34" s="88" t="str">
        <f>'6.Cons Profit &amp; Loss'!E10</f>
        <v>  1,416,933 </v>
      </c>
      <c r="G34" s="88" t="str">
        <f>'6.Cons Profit &amp; Loss'!F10</f>
        <v>  1,575,296 </v>
      </c>
      <c r="H34" s="88" t="str">
        <f>'6.Cons Profit &amp; Loss'!G10</f>
        <v>  1,745,953 </v>
      </c>
      <c r="I34" s="88" t="str">
        <f>'6.Cons Profit &amp; Loss'!H10</f>
        <v>  1,929,738 </v>
      </c>
    </row>
    <row r="35">
      <c r="B35" s="89" t="str">
        <f>'6.Cons Profit &amp; Loss'!A11</f>
        <v>Faclitiy 4 - Custom Hiring </v>
      </c>
      <c r="C35" s="88" t="str">
        <f>'6.Cons Profit &amp; Loss'!B11</f>
        <v>  -   </v>
      </c>
      <c r="D35" s="88" t="str">
        <f>'6.Cons Profit &amp; Loss'!C11</f>
        <v>  -   </v>
      </c>
      <c r="E35" s="88" t="str">
        <f>'6.Cons Profit &amp; Loss'!D11</f>
        <v>  -   </v>
      </c>
      <c r="F35" s="88" t="str">
        <f>'6.Cons Profit &amp; Loss'!E11</f>
        <v>  -   </v>
      </c>
      <c r="G35" s="88" t="str">
        <f>'6.Cons Profit &amp; Loss'!F11</f>
        <v>  -   </v>
      </c>
      <c r="H35" s="88" t="str">
        <f>'6.Cons Profit &amp; Loss'!G11</f>
        <v>  -   </v>
      </c>
      <c r="I35" s="88" t="str">
        <f>'6.Cons Profit &amp; Loss'!H11</f>
        <v>  -   </v>
      </c>
    </row>
    <row r="36">
      <c r="B36" s="89" t="str">
        <f>'6.Cons Profit &amp; Loss'!A12</f>
        <v>Faclitiy 5 - Agri Input Centre</v>
      </c>
      <c r="C36" s="88" t="str">
        <f>'6.Cons Profit &amp; Loss'!B12</f>
        <v>  -   </v>
      </c>
      <c r="D36" s="88" t="str">
        <f>'6.Cons Profit &amp; Loss'!C12</f>
        <v>  -   </v>
      </c>
      <c r="E36" s="88" t="str">
        <f>'6.Cons Profit &amp; Loss'!D12</f>
        <v>  -   </v>
      </c>
      <c r="F36" s="88" t="str">
        <f>'6.Cons Profit &amp; Loss'!E12</f>
        <v>  -   </v>
      </c>
      <c r="G36" s="88" t="str">
        <f>'6.Cons Profit &amp; Loss'!F12</f>
        <v>  -   </v>
      </c>
      <c r="H36" s="88" t="str">
        <f>'6.Cons Profit &amp; Loss'!G12</f>
        <v>  -   </v>
      </c>
      <c r="I36" s="88" t="str">
        <f>'6.Cons Profit &amp; Loss'!H12</f>
        <v>  -   </v>
      </c>
    </row>
    <row r="37">
      <c r="B37" s="89" t="str">
        <f>'6.Cons Profit &amp; Loss'!A13</f>
        <v>Facility 6 - Processing Unit - Horti Commodity</v>
      </c>
      <c r="C37" s="88" t="str">
        <f>'6.Cons Profit &amp; Loss'!B13</f>
        <v>  -   </v>
      </c>
      <c r="D37" s="88" t="str">
        <f>'6.Cons Profit &amp; Loss'!C13</f>
        <v>  -   </v>
      </c>
      <c r="E37" s="88" t="str">
        <f>'6.Cons Profit &amp; Loss'!D13</f>
        <v>  -   </v>
      </c>
      <c r="F37" s="88" t="str">
        <f>'6.Cons Profit &amp; Loss'!E13</f>
        <v>  -   </v>
      </c>
      <c r="G37" s="88" t="str">
        <f>'6.Cons Profit &amp; Loss'!F13</f>
        <v>  -   </v>
      </c>
      <c r="H37" s="88" t="str">
        <f>'6.Cons Profit &amp; Loss'!G13</f>
        <v>  -   </v>
      </c>
      <c r="I37" s="88" t="str">
        <f>'6.Cons Profit &amp; Loss'!H13</f>
        <v>  -   </v>
      </c>
    </row>
    <row r="38">
      <c r="B38" s="89"/>
      <c r="C38" s="89"/>
      <c r="D38" s="89"/>
      <c r="E38" s="89"/>
      <c r="F38" s="89"/>
      <c r="G38" s="89"/>
      <c r="H38" s="89"/>
      <c r="I38" s="89"/>
    </row>
    <row r="39">
      <c r="B39" s="87" t="s">
        <v>158</v>
      </c>
      <c r="C39" s="88" t="str">
        <f t="shared" ref="C39:I39" si="5">SUM(C32:C38)</f>
        <v>  149,682,147 </v>
      </c>
      <c r="D39" s="88" t="str">
        <f t="shared" si="5"/>
        <v>  175,284,374 </v>
      </c>
      <c r="E39" s="88" t="str">
        <f t="shared" si="5"/>
        <v>  200,748,693 </v>
      </c>
      <c r="F39" s="88" t="str">
        <f t="shared" si="5"/>
        <v>  228,345,991 </v>
      </c>
      <c r="G39" s="88" t="str">
        <f t="shared" si="5"/>
        <v>  258,201,146 </v>
      </c>
      <c r="H39" s="88" t="str">
        <f t="shared" si="5"/>
        <v>  290,470,953 </v>
      </c>
      <c r="I39" s="88" t="str">
        <f t="shared" si="5"/>
        <v>  325,322,237 </v>
      </c>
    </row>
    <row r="40">
      <c r="B40" s="87"/>
      <c r="C40" s="88"/>
      <c r="D40" s="88"/>
      <c r="E40" s="88"/>
      <c r="F40" s="88"/>
      <c r="G40" s="88"/>
      <c r="H40" s="88"/>
      <c r="I40" s="88"/>
    </row>
    <row r="41">
      <c r="B41" s="87" t="s">
        <v>159</v>
      </c>
      <c r="C41" s="88" t="str">
        <f>'6.Cons Profit &amp; Loss'!B25</f>
        <v>  140,481,590 </v>
      </c>
      <c r="D41" s="88" t="str">
        <f>'6.Cons Profit &amp; Loss'!C25</f>
        <v>  165,067,801 </v>
      </c>
      <c r="E41" s="88" t="str">
        <f>'6.Cons Profit &amp; Loss'!D25</f>
        <v>  189,061,831 </v>
      </c>
      <c r="F41" s="88" t="str">
        <f>'6.Cons Profit &amp; Loss'!E25</f>
        <v>  215,042,759 </v>
      </c>
      <c r="G41" s="88" t="str">
        <f>'6.Cons Profit &amp; Loss'!F25</f>
        <v>  243,149,307 </v>
      </c>
      <c r="H41" s="88" t="str">
        <f>'6.Cons Profit &amp; Loss'!G25</f>
        <v>  273,529,103 </v>
      </c>
      <c r="I41" s="88" t="str">
        <f>'6.Cons Profit &amp; Loss'!H25</f>
        <v>  306,339,224 </v>
      </c>
    </row>
    <row r="42">
      <c r="B42" s="87"/>
      <c r="C42" s="88"/>
      <c r="D42" s="88"/>
      <c r="E42" s="88"/>
      <c r="F42" s="88"/>
      <c r="G42" s="88"/>
      <c r="H42" s="88"/>
      <c r="I42" s="88"/>
    </row>
    <row r="43">
      <c r="B43" s="90" t="s">
        <v>160</v>
      </c>
      <c r="C43" s="91" t="str">
        <f t="shared" ref="C43:I43" si="6">C39-C41</f>
        <v>  9,200,558 </v>
      </c>
      <c r="D43" s="91" t="str">
        <f t="shared" si="6"/>
        <v>  10,216,573 </v>
      </c>
      <c r="E43" s="91" t="str">
        <f t="shared" si="6"/>
        <v>  11,686,862 </v>
      </c>
      <c r="F43" s="91" t="str">
        <f t="shared" si="6"/>
        <v>  13,303,232 </v>
      </c>
      <c r="G43" s="91" t="str">
        <f t="shared" si="6"/>
        <v>  15,051,840 </v>
      </c>
      <c r="H43" s="91" t="str">
        <f t="shared" si="6"/>
        <v>  16,941,850 </v>
      </c>
      <c r="I43" s="91" t="str">
        <f t="shared" si="6"/>
        <v>  18,983,013 </v>
      </c>
    </row>
    <row r="44">
      <c r="B44" s="87"/>
      <c r="C44" s="88"/>
      <c r="D44" s="88"/>
      <c r="E44" s="88"/>
      <c r="F44" s="88"/>
      <c r="G44" s="88"/>
      <c r="H44" s="88"/>
      <c r="I44" s="88"/>
    </row>
    <row r="45">
      <c r="B45" s="90" t="s">
        <v>161</v>
      </c>
      <c r="C45" s="91" t="str">
        <f>'6.Cons Profit &amp; Loss'!B36+'6.Cons Profit &amp; Loss'!B42+'6.Cons Profit &amp; Loss'!B43</f>
        <v>  4,713,910 </v>
      </c>
      <c r="D45" s="91" t="str">
        <f>'6.Cons Profit &amp; Loss'!C36+'6.Cons Profit &amp; Loss'!C42+'6.Cons Profit &amp; Loss'!C43</f>
        <v>  4,901,710 </v>
      </c>
      <c r="E45" s="91" t="str">
        <f>'6.Cons Profit &amp; Loss'!D36+'6.Cons Profit &amp; Loss'!D42+'6.Cons Profit &amp; Loss'!D43</f>
        <v>  5,102,500 </v>
      </c>
      <c r="F45" s="91" t="str">
        <f>'6.Cons Profit &amp; Loss'!E36+'6.Cons Profit &amp; Loss'!E42+'6.Cons Profit &amp; Loss'!E43</f>
        <v>  5,317,649 </v>
      </c>
      <c r="G45" s="91" t="str">
        <f>'6.Cons Profit &amp; Loss'!F36+'6.Cons Profit &amp; Loss'!F42+'6.Cons Profit &amp; Loss'!F43</f>
        <v>  5,548,740 </v>
      </c>
      <c r="H45" s="91" t="str">
        <f>'6.Cons Profit &amp; Loss'!G36+'6.Cons Profit &amp; Loss'!G42+'6.Cons Profit &amp; Loss'!G43</f>
        <v>  5,565,064 </v>
      </c>
      <c r="I45" s="91" t="str">
        <f>'6.Cons Profit &amp; Loss'!H36+'6.Cons Profit &amp; Loss'!H42+'6.Cons Profit &amp; Loss'!H43</f>
        <v>  5,833,839 </v>
      </c>
    </row>
    <row r="46">
      <c r="B46" s="87"/>
      <c r="C46" s="87"/>
      <c r="D46" s="87"/>
      <c r="E46" s="87"/>
      <c r="F46" s="87"/>
      <c r="G46" s="87"/>
      <c r="H46" s="87"/>
      <c r="I46" s="87"/>
    </row>
    <row r="47">
      <c r="B47" s="87" t="s">
        <v>162</v>
      </c>
      <c r="C47" s="92" t="str">
        <f t="shared" ref="C47:I47" si="7">C45/C43</f>
        <v>51%</v>
      </c>
      <c r="D47" s="92" t="str">
        <f t="shared" si="7"/>
        <v>48%</v>
      </c>
      <c r="E47" s="92" t="str">
        <f t="shared" si="7"/>
        <v>44%</v>
      </c>
      <c r="F47" s="92" t="str">
        <f t="shared" si="7"/>
        <v>40%</v>
      </c>
      <c r="G47" s="92" t="str">
        <f t="shared" si="7"/>
        <v>37%</v>
      </c>
      <c r="H47" s="92" t="str">
        <f t="shared" si="7"/>
        <v>33%</v>
      </c>
      <c r="I47" s="92" t="str">
        <f t="shared" si="7"/>
        <v>31%</v>
      </c>
    </row>
    <row r="48">
      <c r="B48" s="93"/>
      <c r="C48" s="93"/>
      <c r="D48" s="93"/>
      <c r="E48" s="93"/>
      <c r="F48" s="93"/>
      <c r="G48" s="93"/>
      <c r="H48" s="93"/>
      <c r="I48" s="93"/>
    </row>
    <row r="49">
      <c r="B49" s="94" t="s">
        <v>163</v>
      </c>
      <c r="C49" s="95" t="str">
        <f>AVERAGE(C47:I47)</f>
        <v>40.47%</v>
      </c>
      <c r="D49" s="93"/>
      <c r="E49" s="93"/>
      <c r="F49" s="93"/>
      <c r="G49" s="93"/>
      <c r="H49" s="93"/>
      <c r="I49" s="93"/>
    </row>
    <row r="51" ht="41.25" customHeight="1">
      <c r="B51" s="96" t="s">
        <v>164</v>
      </c>
    </row>
    <row r="54">
      <c r="B54" s="25" t="s">
        <v>165</v>
      </c>
    </row>
    <row r="56">
      <c r="B56" s="97" t="s">
        <v>135</v>
      </c>
      <c r="C56" s="98" t="s">
        <v>137</v>
      </c>
      <c r="D56" s="98" t="s">
        <v>138</v>
      </c>
      <c r="E56" s="98" t="s">
        <v>139</v>
      </c>
      <c r="F56" s="98" t="s">
        <v>140</v>
      </c>
      <c r="G56" s="98" t="s">
        <v>141</v>
      </c>
      <c r="H56" s="98" t="s">
        <v>142</v>
      </c>
      <c r="I56" s="98" t="s">
        <v>143</v>
      </c>
    </row>
    <row r="57">
      <c r="B57" s="87"/>
      <c r="C57" s="87"/>
      <c r="D57" s="87"/>
      <c r="E57" s="87"/>
      <c r="F57" s="87"/>
      <c r="G57" s="87"/>
      <c r="H57" s="87"/>
      <c r="I57" s="87"/>
    </row>
    <row r="58">
      <c r="B58" s="87" t="s">
        <v>144</v>
      </c>
      <c r="C58" s="99" t="str">
        <f>'6.Cons Profit &amp; Loss'!B51</f>
        <v>2,636,861</v>
      </c>
      <c r="D58" s="99" t="str">
        <f>'6.Cons Profit &amp; Loss'!C51</f>
        <v>3,004,981</v>
      </c>
      <c r="E58" s="99" t="str">
        <f>'6.Cons Profit &amp; Loss'!D51</f>
        <v>3,864,079</v>
      </c>
      <c r="F58" s="99" t="str">
        <f>'6.Cons Profit &amp; Loss'!E51</f>
        <v>4,838,815</v>
      </c>
      <c r="G58" s="99" t="str">
        <f>'6.Cons Profit &amp; Loss'!F51</f>
        <v>5,917,404</v>
      </c>
      <c r="H58" s="99" t="str">
        <f>'6.Cons Profit &amp; Loss'!G51</f>
        <v>7,277,642</v>
      </c>
      <c r="I58" s="99" t="str">
        <f>'6.Cons Profit &amp; Loss'!H51</f>
        <v>8,581,932</v>
      </c>
    </row>
    <row r="59">
      <c r="B59" s="87"/>
      <c r="C59" s="99"/>
      <c r="D59" s="99"/>
      <c r="E59" s="99"/>
      <c r="F59" s="99"/>
      <c r="G59" s="99"/>
      <c r="H59" s="99"/>
      <c r="I59" s="99"/>
    </row>
    <row r="60">
      <c r="B60" s="87" t="s">
        <v>166</v>
      </c>
      <c r="C60" s="99" t="str">
        <f>'6.Cons Profit &amp; Loss'!B42</f>
        <v>1,085,367</v>
      </c>
      <c r="D60" s="99" t="str">
        <f>'6.Cons Profit &amp; Loss'!C42</f>
        <v>1,085,367</v>
      </c>
      <c r="E60" s="99" t="str">
        <f>'6.Cons Profit &amp; Loss'!D42</f>
        <v>1,085,367</v>
      </c>
      <c r="F60" s="99" t="str">
        <f>'6.Cons Profit &amp; Loss'!E42</f>
        <v>1,085,367</v>
      </c>
      <c r="G60" s="99" t="str">
        <f>'6.Cons Profit &amp; Loss'!F42</f>
        <v>1,085,367</v>
      </c>
      <c r="H60" s="99" t="str">
        <f>'6.Cons Profit &amp; Loss'!G42</f>
        <v>1,085,367</v>
      </c>
      <c r="I60" s="99" t="str">
        <f>'6.Cons Profit &amp; Loss'!H42</f>
        <v>1,085,367</v>
      </c>
    </row>
    <row r="61">
      <c r="B61" s="100" t="s">
        <v>167</v>
      </c>
      <c r="C61" s="99" t="str">
        <f>'6.Cons Profit &amp; Loss'!B43</f>
        <v>232,543</v>
      </c>
      <c r="D61" s="99" t="str">
        <f>'6.Cons Profit &amp; Loss'!C43</f>
        <v>232,543</v>
      </c>
      <c r="E61" s="99" t="str">
        <f>'6.Cons Profit &amp; Loss'!D43</f>
        <v>232,543</v>
      </c>
      <c r="F61" s="99" t="str">
        <f>'6.Cons Profit &amp; Loss'!E43</f>
        <v>232,543</v>
      </c>
      <c r="G61" s="99" t="str">
        <f>'6.Cons Profit &amp; Loss'!F43</f>
        <v>232,543</v>
      </c>
      <c r="H61" s="99" t="str">
        <f>'6.Cons Profit &amp; Loss'!G43</f>
        <v>0</v>
      </c>
      <c r="I61" s="99" t="str">
        <f>'6.Cons Profit &amp; Loss'!H43</f>
        <v>0</v>
      </c>
    </row>
    <row r="62">
      <c r="B62" s="87"/>
      <c r="C62" s="99"/>
      <c r="D62" s="99"/>
      <c r="E62" s="99"/>
      <c r="F62" s="99"/>
      <c r="G62" s="99"/>
      <c r="H62" s="99"/>
      <c r="I62" s="99"/>
    </row>
    <row r="63">
      <c r="B63" s="87" t="s">
        <v>147</v>
      </c>
      <c r="C63" s="99" t="str">
        <f t="shared" ref="C63:I63" si="8">SUM(C58:C61)</f>
        <v>3,954,771</v>
      </c>
      <c r="D63" s="99" t="str">
        <f t="shared" si="8"/>
        <v>4,322,891</v>
      </c>
      <c r="E63" s="99" t="str">
        <f t="shared" si="8"/>
        <v>5,181,989</v>
      </c>
      <c r="F63" s="99" t="str">
        <f t="shared" si="8"/>
        <v>6,156,725</v>
      </c>
      <c r="G63" s="99" t="str">
        <f t="shared" si="8"/>
        <v>7,235,314</v>
      </c>
      <c r="H63" s="99" t="str">
        <f t="shared" si="8"/>
        <v>8,363,009</v>
      </c>
      <c r="I63" s="99" t="str">
        <f t="shared" si="8"/>
        <v>9,667,299</v>
      </c>
    </row>
    <row r="64">
      <c r="B64" s="87"/>
      <c r="C64" s="87"/>
      <c r="D64" s="87"/>
      <c r="E64" s="87"/>
      <c r="F64" s="87"/>
      <c r="G64" s="87"/>
      <c r="H64" s="87"/>
      <c r="I64" s="87"/>
    </row>
    <row r="65">
      <c r="B65" s="101" t="s">
        <v>168</v>
      </c>
      <c r="C65" s="89" t="str">
        <f>1/1.1</f>
        <v>0.91</v>
      </c>
      <c r="D65" s="89" t="str">
        <f t="shared" ref="D65:I65" si="9">C65/1.1</f>
        <v>0.83</v>
      </c>
      <c r="E65" s="89" t="str">
        <f t="shared" si="9"/>
        <v>0.75</v>
      </c>
      <c r="F65" s="89" t="str">
        <f t="shared" si="9"/>
        <v>0.68</v>
      </c>
      <c r="G65" s="89" t="str">
        <f t="shared" si="9"/>
        <v>0.62</v>
      </c>
      <c r="H65" s="89" t="str">
        <f t="shared" si="9"/>
        <v>0.56</v>
      </c>
      <c r="I65" s="89" t="str">
        <f t="shared" si="9"/>
        <v>0.51</v>
      </c>
    </row>
    <row r="66">
      <c r="B66" s="87"/>
      <c r="C66" s="87"/>
      <c r="D66" s="87"/>
      <c r="E66" s="87"/>
      <c r="F66" s="87"/>
      <c r="G66" s="87"/>
      <c r="H66" s="87"/>
      <c r="I66" s="87"/>
    </row>
    <row r="67">
      <c r="B67" s="101" t="s">
        <v>169</v>
      </c>
      <c r="C67" s="88" t="str">
        <f t="shared" ref="C67:I67" si="10">C63*C65</f>
        <v>  3,595,246 </v>
      </c>
      <c r="D67" s="88" t="str">
        <f t="shared" si="10"/>
        <v>  3,572,637 </v>
      </c>
      <c r="E67" s="88" t="str">
        <f t="shared" si="10"/>
        <v>  3,893,305 </v>
      </c>
      <c r="F67" s="88" t="str">
        <f t="shared" si="10"/>
        <v>  4,205,126 </v>
      </c>
      <c r="G67" s="88" t="str">
        <f t="shared" si="10"/>
        <v>  4,492,561 </v>
      </c>
      <c r="H67" s="88" t="str">
        <f t="shared" si="10"/>
        <v>  4,720,701 </v>
      </c>
      <c r="I67" s="88" t="str">
        <f t="shared" si="10"/>
        <v>  4,960,853 </v>
      </c>
    </row>
    <row r="68">
      <c r="B68" s="93"/>
      <c r="C68" s="102"/>
      <c r="D68" s="102"/>
      <c r="E68" s="102"/>
      <c r="F68" s="102"/>
      <c r="G68" s="102"/>
      <c r="H68" s="102"/>
      <c r="I68" s="102"/>
    </row>
    <row r="69">
      <c r="B69" s="103" t="s">
        <v>170</v>
      </c>
      <c r="C69" s="102" t="str">
        <f>SUM(C67:I67)</f>
        <v>  29,440,429 </v>
      </c>
      <c r="D69" s="102"/>
      <c r="E69" s="102"/>
      <c r="F69" s="102"/>
      <c r="G69" s="102"/>
      <c r="H69" s="102"/>
      <c r="I69" s="102"/>
    </row>
    <row r="70">
      <c r="B70" s="93"/>
      <c r="C70" s="102"/>
      <c r="D70" s="102"/>
      <c r="E70" s="102"/>
      <c r="F70" s="102"/>
      <c r="G70" s="102"/>
      <c r="H70" s="102"/>
      <c r="I70" s="102"/>
    </row>
    <row r="71">
      <c r="B71" s="103" t="s">
        <v>171</v>
      </c>
      <c r="C71" s="102" t="str">
        <f>'1.Project Cost and MOF'!D12</f>
        <v>  28,330,223 </v>
      </c>
      <c r="D71" s="102"/>
      <c r="E71" s="102"/>
      <c r="F71" s="102"/>
      <c r="G71" s="102"/>
      <c r="H71" s="102"/>
      <c r="I71" s="102"/>
    </row>
    <row r="72">
      <c r="B72" s="93"/>
      <c r="C72" s="104"/>
      <c r="D72" s="93"/>
      <c r="E72" s="93"/>
      <c r="F72" s="93"/>
      <c r="G72" s="93"/>
      <c r="H72" s="93"/>
      <c r="I72" s="93"/>
    </row>
    <row r="73">
      <c r="B73" s="103" t="s">
        <v>172</v>
      </c>
      <c r="C73" s="102" t="str">
        <f>C69-C71</f>
        <v>  1,110,205 </v>
      </c>
      <c r="D73" s="93"/>
      <c r="E73" s="93"/>
      <c r="F73" s="93"/>
      <c r="G73" s="93"/>
      <c r="H73" s="93"/>
      <c r="I73" s="93"/>
    </row>
    <row r="75" ht="34.5" customHeight="1">
      <c r="B75" s="105" t="s">
        <v>173</v>
      </c>
    </row>
    <row r="76">
      <c r="B76" s="25" t="s">
        <v>174</v>
      </c>
    </row>
    <row r="77">
      <c r="B77" s="93"/>
      <c r="C77" s="93"/>
      <c r="D77" s="93"/>
      <c r="E77" s="93"/>
      <c r="F77" s="93"/>
      <c r="G77" s="93"/>
      <c r="H77" s="93"/>
      <c r="I77" s="93"/>
    </row>
    <row r="78">
      <c r="B78" s="106" t="s">
        <v>156</v>
      </c>
      <c r="C78" s="106" t="s">
        <v>137</v>
      </c>
      <c r="D78" s="106" t="s">
        <v>138</v>
      </c>
      <c r="E78" s="106" t="s">
        <v>139</v>
      </c>
      <c r="F78" s="106" t="s">
        <v>140</v>
      </c>
      <c r="G78" s="106" t="s">
        <v>141</v>
      </c>
      <c r="H78" s="106" t="s">
        <v>142</v>
      </c>
      <c r="I78" s="106" t="s">
        <v>143</v>
      </c>
    </row>
    <row r="79">
      <c r="B79" s="107"/>
      <c r="C79" s="108"/>
      <c r="D79" s="108"/>
      <c r="E79" s="108"/>
      <c r="F79" s="108"/>
      <c r="G79" s="108"/>
      <c r="H79" s="108"/>
      <c r="I79" s="108"/>
    </row>
    <row r="80">
      <c r="B80" s="90" t="s">
        <v>175</v>
      </c>
      <c r="C80" s="88" t="str">
        <f>'6.Cons Profit &amp; Loss'!B51</f>
        <v>  2,636,861 </v>
      </c>
      <c r="D80" s="88" t="str">
        <f>'6.Cons Profit &amp; Loss'!C51</f>
        <v>  3,004,981 </v>
      </c>
      <c r="E80" s="88" t="str">
        <f>'6.Cons Profit &amp; Loss'!D51</f>
        <v>  3,864,079 </v>
      </c>
      <c r="F80" s="88" t="str">
        <f>'6.Cons Profit &amp; Loss'!E51</f>
        <v>  4,838,815 </v>
      </c>
      <c r="G80" s="88" t="str">
        <f>'6.Cons Profit &amp; Loss'!F51</f>
        <v>  5,917,404 </v>
      </c>
      <c r="H80" s="88" t="str">
        <f>'6.Cons Profit &amp; Loss'!G51</f>
        <v>  7,277,642 </v>
      </c>
      <c r="I80" s="88" t="str">
        <f>'6.Cons Profit &amp; Loss'!H51</f>
        <v>  8,581,932 </v>
      </c>
    </row>
    <row r="81">
      <c r="B81" s="87"/>
      <c r="C81" s="87"/>
      <c r="D81" s="87"/>
      <c r="E81" s="87"/>
      <c r="F81" s="87"/>
      <c r="G81" s="87"/>
      <c r="H81" s="87"/>
      <c r="I81" s="87"/>
    </row>
    <row r="82">
      <c r="B82" s="90" t="s">
        <v>176</v>
      </c>
      <c r="C82" s="109" t="str">
        <f>AVERAGE(C80:I80)</f>
        <v>5160244.90</v>
      </c>
      <c r="D82" s="5"/>
      <c r="E82" s="5"/>
      <c r="F82" s="5"/>
      <c r="G82" s="5"/>
      <c r="H82" s="5"/>
      <c r="I82" s="6"/>
    </row>
    <row r="83">
      <c r="B83" s="90" t="s">
        <v>177</v>
      </c>
      <c r="C83" s="109" t="str">
        <f>'1.Project Cost and MOF'!D12</f>
        <v>28330223.19</v>
      </c>
      <c r="D83" s="5"/>
      <c r="E83" s="5"/>
      <c r="F83" s="5"/>
      <c r="G83" s="5"/>
      <c r="H83" s="5"/>
      <c r="I83" s="6"/>
    </row>
    <row r="84">
      <c r="B84" s="87"/>
      <c r="C84" s="87"/>
      <c r="D84" s="87"/>
      <c r="E84" s="87"/>
      <c r="F84" s="87"/>
      <c r="G84" s="87"/>
      <c r="H84" s="87"/>
      <c r="I84" s="87"/>
    </row>
    <row r="85">
      <c r="B85" s="110" t="s">
        <v>178</v>
      </c>
      <c r="C85" s="111" t="str">
        <f>C82/C83</f>
        <v>18.21%</v>
      </c>
      <c r="D85" s="5"/>
      <c r="E85" s="5"/>
      <c r="F85" s="5"/>
      <c r="G85" s="5"/>
      <c r="H85" s="5"/>
      <c r="I85" s="6"/>
    </row>
    <row r="88">
      <c r="B88" s="112" t="s">
        <v>179</v>
      </c>
    </row>
    <row r="90">
      <c r="B90" s="25" t="s">
        <v>180</v>
      </c>
    </row>
    <row r="92">
      <c r="B92" s="86" t="s">
        <v>156</v>
      </c>
      <c r="C92" s="86" t="s">
        <v>136</v>
      </c>
      <c r="D92" s="86" t="s">
        <v>137</v>
      </c>
      <c r="E92" s="86" t="s">
        <v>138</v>
      </c>
      <c r="F92" s="86" t="s">
        <v>139</v>
      </c>
      <c r="G92" s="86" t="s">
        <v>140</v>
      </c>
      <c r="H92" s="86" t="s">
        <v>141</v>
      </c>
      <c r="I92" s="86" t="s">
        <v>142</v>
      </c>
      <c r="J92" s="86" t="s">
        <v>143</v>
      </c>
    </row>
    <row r="93">
      <c r="B93" s="113"/>
      <c r="C93" s="113"/>
      <c r="D93" s="114"/>
      <c r="E93" s="114"/>
      <c r="F93" s="114"/>
      <c r="G93" s="114"/>
      <c r="H93" s="114"/>
      <c r="I93" s="114"/>
      <c r="J93" s="114"/>
    </row>
    <row r="94">
      <c r="B94" s="42" t="s">
        <v>181</v>
      </c>
      <c r="C94" s="115" t="str">
        <f>'1.Project Cost and MOF'!D12</f>
        <v>  28,330,223 </v>
      </c>
      <c r="D94" s="114"/>
      <c r="E94" s="114"/>
      <c r="F94" s="114"/>
      <c r="G94" s="114"/>
      <c r="H94" s="114"/>
      <c r="I94" s="114"/>
      <c r="J94" s="114"/>
    </row>
    <row r="95">
      <c r="B95" s="42" t="str">
        <f>B58</f>
        <v>Profit after Tax &amp; Dividend</v>
      </c>
      <c r="C95" s="42"/>
      <c r="D95" s="116" t="str">
        <f>'6.Cons Profit &amp; Loss'!B51</f>
        <v>  2,636,861 </v>
      </c>
      <c r="E95" s="116" t="str">
        <f>'6.Cons Profit &amp; Loss'!C51</f>
        <v>  3,004,981 </v>
      </c>
      <c r="F95" s="116" t="str">
        <f>'6.Cons Profit &amp; Loss'!D51</f>
        <v>  3,864,079 </v>
      </c>
      <c r="G95" s="116" t="str">
        <f>'6.Cons Profit &amp; Loss'!E51</f>
        <v>  4,838,815 </v>
      </c>
      <c r="H95" s="116" t="str">
        <f>'6.Cons Profit &amp; Loss'!F51</f>
        <v>  5,917,404 </v>
      </c>
      <c r="I95" s="116" t="str">
        <f>'6.Cons Profit &amp; Loss'!G51</f>
        <v>  7,277,642 </v>
      </c>
      <c r="J95" s="116" t="str">
        <f>'6.Cons Profit &amp; Loss'!H51</f>
        <v>  8,581,932 </v>
      </c>
    </row>
    <row r="96">
      <c r="B96" s="42" t="str">
        <f t="shared" ref="B96:B97" si="11">B60</f>
        <v>Add: Deprication</v>
      </c>
      <c r="C96" s="42"/>
      <c r="D96" s="116" t="str">
        <f>'6.Cons Profit &amp; Loss'!B42</f>
        <v>  1,085,367 </v>
      </c>
      <c r="E96" s="116" t="str">
        <f>'6.Cons Profit &amp; Loss'!C42</f>
        <v>  1,085,367 </v>
      </c>
      <c r="F96" s="116" t="str">
        <f>'6.Cons Profit &amp; Loss'!D42</f>
        <v>  1,085,367 </v>
      </c>
      <c r="G96" s="116" t="str">
        <f>'6.Cons Profit &amp; Loss'!E42</f>
        <v>  1,085,367 </v>
      </c>
      <c r="H96" s="116" t="str">
        <f>'6.Cons Profit &amp; Loss'!F42</f>
        <v>  1,085,367 </v>
      </c>
      <c r="I96" s="116" t="str">
        <f>'6.Cons Profit &amp; Loss'!G42</f>
        <v>  1,085,367 </v>
      </c>
      <c r="J96" s="116" t="str">
        <f>'6.Cons Profit &amp; Loss'!H42</f>
        <v>  1,085,367 </v>
      </c>
    </row>
    <row r="97">
      <c r="B97" s="42" t="str">
        <f t="shared" si="11"/>
        <v>Add. Preliminary exp Written off</v>
      </c>
      <c r="C97" s="42"/>
      <c r="D97" s="116" t="str">
        <f>'6.Cons Profit &amp; Loss'!B43</f>
        <v>  232,543 </v>
      </c>
      <c r="E97" s="116" t="str">
        <f>'6.Cons Profit &amp; Loss'!C43</f>
        <v>  232,543 </v>
      </c>
      <c r="F97" s="116" t="str">
        <f>'6.Cons Profit &amp; Loss'!D43</f>
        <v>  232,543 </v>
      </c>
      <c r="G97" s="116" t="str">
        <f>'6.Cons Profit &amp; Loss'!E43</f>
        <v>  232,543 </v>
      </c>
      <c r="H97" s="116" t="str">
        <f>'6.Cons Profit &amp; Loss'!F43</f>
        <v>  232,543 </v>
      </c>
      <c r="I97" s="116" t="str">
        <f>'6.Cons Profit &amp; Loss'!G43</f>
        <v>  -   </v>
      </c>
      <c r="J97" s="116" t="str">
        <f>'6.Cons Profit &amp; Loss'!H43</f>
        <v>  -   </v>
      </c>
    </row>
    <row r="98">
      <c r="B98" s="42" t="str">
        <f>B63</f>
        <v>Net Cash Accrual (A)      </v>
      </c>
      <c r="C98" s="42"/>
      <c r="D98" s="116" t="str">
        <f t="shared" ref="D98:J98" si="12">SUM(D95:D97)</f>
        <v>  3,954,771 </v>
      </c>
      <c r="E98" s="116" t="str">
        <f t="shared" si="12"/>
        <v>  4,322,891 </v>
      </c>
      <c r="F98" s="116" t="str">
        <f t="shared" si="12"/>
        <v>  5,181,989 </v>
      </c>
      <c r="G98" s="116" t="str">
        <f t="shared" si="12"/>
        <v>  6,156,725 </v>
      </c>
      <c r="H98" s="116" t="str">
        <f t="shared" si="12"/>
        <v>  7,235,314 </v>
      </c>
      <c r="I98" s="116" t="str">
        <f t="shared" si="12"/>
        <v>  8,363,009 </v>
      </c>
      <c r="J98" s="116" t="str">
        <f t="shared" si="12"/>
        <v>  9,667,299 </v>
      </c>
    </row>
    <row r="99">
      <c r="B99" s="42" t="s">
        <v>182</v>
      </c>
      <c r="C99" s="117"/>
      <c r="D99" s="118" t="str">
        <f>D98-C94</f>
        <v>  (24,375,452)</v>
      </c>
      <c r="E99" s="118" t="str">
        <f t="shared" ref="E99:I99" si="13">D99+E98</f>
        <v>  (20,052,562)</v>
      </c>
      <c r="F99" s="118" t="str">
        <f t="shared" si="13"/>
        <v>  (14,870,572)</v>
      </c>
      <c r="G99" s="118" t="str">
        <f t="shared" si="13"/>
        <v>  (8,713,848)</v>
      </c>
      <c r="H99" s="118" t="str">
        <f t="shared" si="13"/>
        <v>  (1,478,534)</v>
      </c>
      <c r="I99" s="118" t="str">
        <f t="shared" si="13"/>
        <v>  6,884,475 </v>
      </c>
      <c r="J99" s="119"/>
    </row>
    <row r="100">
      <c r="B100" s="120"/>
      <c r="C100" s="120"/>
      <c r="D100" s="120"/>
      <c r="E100" s="120"/>
      <c r="F100" s="120"/>
      <c r="G100" s="120"/>
      <c r="H100" s="120"/>
      <c r="I100" s="120"/>
      <c r="J100" s="120"/>
    </row>
    <row r="101">
      <c r="B101" s="121" t="s">
        <v>183</v>
      </c>
      <c r="C101" s="120"/>
      <c r="D101" s="122" t="str">
        <f>4+(-G99/H98)</f>
        <v>5.20</v>
      </c>
      <c r="E101" s="120"/>
      <c r="F101" s="120"/>
      <c r="G101" s="120"/>
      <c r="H101" s="120"/>
      <c r="I101" s="120"/>
      <c r="J101" s="120"/>
    </row>
    <row r="102">
      <c r="B102" s="120"/>
      <c r="C102" s="120"/>
      <c r="D102" s="120"/>
      <c r="E102" s="120"/>
      <c r="F102" s="120"/>
      <c r="G102" s="120"/>
      <c r="H102" s="120"/>
      <c r="I102" s="120"/>
      <c r="J102" s="120"/>
    </row>
    <row r="103">
      <c r="B103" s="112" t="s">
        <v>184</v>
      </c>
    </row>
    <row r="104">
      <c r="B104" s="120"/>
      <c r="C104" s="120"/>
      <c r="D104" s="120"/>
      <c r="E104" s="120"/>
      <c r="F104" s="120"/>
      <c r="G104" s="120"/>
      <c r="H104" s="120"/>
      <c r="I104" s="120"/>
    </row>
    <row r="105">
      <c r="B105" s="25" t="s">
        <v>185</v>
      </c>
    </row>
    <row r="106">
      <c r="B106" s="120"/>
      <c r="C106" s="120"/>
      <c r="D106" s="120"/>
      <c r="E106" s="120"/>
      <c r="F106" s="120"/>
      <c r="G106" s="120"/>
      <c r="H106" s="120"/>
      <c r="I106" s="120"/>
    </row>
    <row r="107">
      <c r="B107" s="123" t="s">
        <v>156</v>
      </c>
      <c r="C107" s="123" t="s">
        <v>137</v>
      </c>
      <c r="D107" s="123" t="s">
        <v>138</v>
      </c>
      <c r="E107" s="123" t="s">
        <v>139</v>
      </c>
      <c r="F107" s="123" t="s">
        <v>140</v>
      </c>
      <c r="G107" s="123" t="s">
        <v>141</v>
      </c>
      <c r="H107" s="123" t="s">
        <v>142</v>
      </c>
      <c r="I107" s="123" t="s">
        <v>143</v>
      </c>
    </row>
    <row r="108">
      <c r="B108" s="107"/>
      <c r="C108" s="108"/>
      <c r="D108" s="108"/>
      <c r="E108" s="108"/>
      <c r="F108" s="108"/>
      <c r="G108" s="108"/>
      <c r="H108" s="108"/>
      <c r="I108" s="108"/>
    </row>
    <row r="109">
      <c r="B109" s="87" t="s">
        <v>186</v>
      </c>
      <c r="C109" s="88" t="str">
        <f>+'6.Cons Profit &amp; Loss'!B51</f>
        <v>  2,636,861 </v>
      </c>
      <c r="D109" s="88" t="str">
        <f>+'6.Cons Profit &amp; Loss'!C51</f>
        <v>  3,004,981 </v>
      </c>
      <c r="E109" s="88" t="str">
        <f>+'6.Cons Profit &amp; Loss'!D51</f>
        <v>  3,864,079 </v>
      </c>
      <c r="F109" s="88" t="str">
        <f>+'6.Cons Profit &amp; Loss'!E51</f>
        <v>  4,838,815 </v>
      </c>
      <c r="G109" s="88" t="str">
        <f>+'6.Cons Profit &amp; Loss'!F51</f>
        <v>  5,917,404 </v>
      </c>
      <c r="H109" s="88" t="str">
        <f>+'6.Cons Profit &amp; Loss'!G51</f>
        <v>  7,277,642 </v>
      </c>
      <c r="I109" s="88" t="str">
        <f>+'6.Cons Profit &amp; Loss'!H51</f>
        <v>  8,581,932 </v>
      </c>
    </row>
    <row r="110">
      <c r="B110" s="87"/>
      <c r="C110" s="88"/>
      <c r="D110" s="88"/>
      <c r="E110" s="88"/>
      <c r="F110" s="88"/>
      <c r="G110" s="88"/>
      <c r="H110" s="88"/>
      <c r="I110" s="88"/>
    </row>
    <row r="111">
      <c r="B111" s="90" t="s">
        <v>88</v>
      </c>
      <c r="C111" s="91" t="str">
        <f t="shared" ref="C111:I111" si="14">+SUM(C109:C110)</f>
        <v>  2,636,861 </v>
      </c>
      <c r="D111" s="91" t="str">
        <f t="shared" si="14"/>
        <v>  3,004,981 </v>
      </c>
      <c r="E111" s="91" t="str">
        <f t="shared" si="14"/>
        <v>  3,864,079 </v>
      </c>
      <c r="F111" s="91" t="str">
        <f t="shared" si="14"/>
        <v>  4,838,815 </v>
      </c>
      <c r="G111" s="91" t="str">
        <f t="shared" si="14"/>
        <v>  5,917,404 </v>
      </c>
      <c r="H111" s="91" t="str">
        <f t="shared" si="14"/>
        <v>  7,277,642 </v>
      </c>
      <c r="I111" s="91" t="str">
        <f t="shared" si="14"/>
        <v>  8,581,932 </v>
      </c>
    </row>
    <row r="112">
      <c r="B112" s="87"/>
      <c r="C112" s="87"/>
      <c r="D112" s="87"/>
      <c r="E112" s="87"/>
      <c r="F112" s="87"/>
      <c r="G112" s="87"/>
      <c r="H112" s="87"/>
      <c r="I112" s="87"/>
    </row>
    <row r="113">
      <c r="B113" s="87" t="s">
        <v>187</v>
      </c>
      <c r="C113" s="91" t="str">
        <f>'8.Cash Flow '!C25+'8.Cash Flow '!C26+'8.Cash Flow '!C28</f>
        <v>  1,977,087 </v>
      </c>
      <c r="D113" s="91" t="str">
        <f>'8.Cash Flow '!D25+'8.Cash Flow '!D26+'8.Cash Flow '!D28</f>
        <v>  2,635,271 </v>
      </c>
      <c r="E113" s="91" t="str">
        <f>'8.Cash Flow '!E25+'8.Cash Flow '!E26+'8.Cash Flow '!E28</f>
        <v>  2,754,820 </v>
      </c>
      <c r="F113" s="91" t="str">
        <f>'8.Cash Flow '!F25+'8.Cash Flow '!F26+'8.Cash Flow '!F28</f>
        <v>  2,884,380 </v>
      </c>
      <c r="G113" s="91" t="str">
        <f>'8.Cash Flow '!G25+'8.Cash Flow '!G26+'8.Cash Flow '!G28</f>
        <v>  3,024,540 </v>
      </c>
      <c r="H113" s="91" t="str">
        <f>'8.Cash Flow '!H25+'8.Cash Flow '!H26+'8.Cash Flow '!H28</f>
        <v>  3,176,036 </v>
      </c>
      <c r="I113" s="91" t="str">
        <f>'8.Cash Flow '!I25+'8.Cash Flow '!I26+'8.Cash Flow '!I28</f>
        <v>  3,339,651 </v>
      </c>
    </row>
    <row r="114">
      <c r="B114" s="87"/>
      <c r="C114" s="87"/>
      <c r="D114" s="87"/>
      <c r="E114" s="87"/>
      <c r="F114" s="87"/>
      <c r="G114" s="87"/>
      <c r="H114" s="87"/>
      <c r="I114" s="87"/>
    </row>
    <row r="115">
      <c r="B115" s="90" t="s">
        <v>188</v>
      </c>
      <c r="C115" s="124" t="str">
        <f t="shared" ref="C115:I115" si="15">C111/C113</f>
        <v>1.33</v>
      </c>
      <c r="D115" s="124" t="str">
        <f t="shared" si="15"/>
        <v>1.14</v>
      </c>
      <c r="E115" s="124" t="str">
        <f t="shared" si="15"/>
        <v>1.40</v>
      </c>
      <c r="F115" s="124" t="str">
        <f t="shared" si="15"/>
        <v>1.68</v>
      </c>
      <c r="G115" s="124" t="str">
        <f t="shared" si="15"/>
        <v>1.96</v>
      </c>
      <c r="H115" s="124" t="str">
        <f t="shared" si="15"/>
        <v>2.29</v>
      </c>
      <c r="I115" s="124" t="str">
        <f t="shared" si="15"/>
        <v>2.57</v>
      </c>
    </row>
    <row r="116">
      <c r="B116" s="93"/>
      <c r="C116" s="125"/>
      <c r="D116" s="93"/>
      <c r="E116" s="93"/>
      <c r="F116" s="93"/>
      <c r="G116" s="93"/>
      <c r="H116" s="93"/>
      <c r="I116" s="93"/>
    </row>
    <row r="117">
      <c r="B117" s="93" t="s">
        <v>189</v>
      </c>
      <c r="C117" s="126" t="str">
        <f>AVERAGE(C115:I115)</f>
        <v>1.77</v>
      </c>
      <c r="D117" s="93"/>
      <c r="E117" s="125"/>
      <c r="F117" s="93"/>
      <c r="G117" s="93"/>
      <c r="H117" s="93"/>
      <c r="I117" s="93"/>
    </row>
    <row r="118">
      <c r="C118" s="127"/>
      <c r="D118" s="127"/>
      <c r="E118" s="127"/>
      <c r="F118" s="127"/>
      <c r="G118" s="127"/>
      <c r="H118" s="127"/>
      <c r="I118" s="127"/>
    </row>
    <row r="119" ht="29.25" customHeight="1">
      <c r="B119" s="105" t="s">
        <v>190</v>
      </c>
    </row>
    <row r="121">
      <c r="B121" s="128" t="s">
        <v>191</v>
      </c>
      <c r="C121" s="2"/>
      <c r="D121" s="2"/>
      <c r="E121" s="2"/>
      <c r="F121" s="2"/>
      <c r="G121" s="2"/>
      <c r="H121" s="2"/>
      <c r="I121" s="2"/>
      <c r="K121" s="129"/>
    </row>
    <row r="122">
      <c r="B122" s="97" t="s">
        <v>192</v>
      </c>
      <c r="C122" s="98" t="s">
        <v>137</v>
      </c>
      <c r="D122" s="98" t="s">
        <v>138</v>
      </c>
      <c r="E122" s="98" t="s">
        <v>139</v>
      </c>
      <c r="F122" s="98" t="s">
        <v>140</v>
      </c>
      <c r="G122" s="98" t="s">
        <v>141</v>
      </c>
      <c r="H122" s="98" t="s">
        <v>142</v>
      </c>
      <c r="I122" s="98" t="s">
        <v>143</v>
      </c>
    </row>
    <row r="123">
      <c r="B123" s="69" t="str">
        <f>'6.Cons Profit &amp; Loss'!A8</f>
        <v>Faclitiy 1 - Cleaning &amp; Grading</v>
      </c>
      <c r="C123" s="130" t="str">
        <f>'6.Cons Profit &amp; Loss'!B8*(1+$M$124)</f>
        <v>  110,267,309 </v>
      </c>
      <c r="D123" s="130" t="str">
        <f>'6.Cons Profit &amp; Loss'!C8*(1+$M$124)</f>
        <v>  129,652,699 </v>
      </c>
      <c r="E123" s="130" t="str">
        <f>'6.Cons Profit &amp; Loss'!D8*(1+$M$124)</f>
        <v>  148,533,171 </v>
      </c>
      <c r="F123" s="130" t="str">
        <f>'6.Cons Profit &amp; Loss'!E8*(1+$M$124)</f>
        <v>  168,977,557 </v>
      </c>
      <c r="G123" s="130" t="str">
        <f>'6.Cons Profit &amp; Loss'!F8*(1+$M$124)</f>
        <v>  191,095,050 </v>
      </c>
      <c r="H123" s="130" t="str">
        <f>'6.Cons Profit &amp; Loss'!G8*(1+$M$124)</f>
        <v>  215,001,848 </v>
      </c>
      <c r="I123" s="130" t="str">
        <f>'6.Cons Profit &amp; Loss'!H8*(1+$M$124)</f>
        <v>  240,821,588 </v>
      </c>
    </row>
    <row r="124">
      <c r="B124" s="69" t="str">
        <f>'6.Cons Profit &amp; Loss'!A9</f>
        <v>Faclitiy 2 - Processing Unit - Dal Mill</v>
      </c>
      <c r="C124" s="130" t="str">
        <f>'6.Cons Profit &amp; Loss'!B9*(1+$M$124)</f>
        <v>  45,840,545 </v>
      </c>
      <c r="D124" s="130" t="str">
        <f>'6.Cons Profit &amp; Loss'!C9*(1+$M$124)</f>
        <v>  53,205,194 </v>
      </c>
      <c r="E124" s="130" t="str">
        <f>'6.Cons Profit &amp; Loss'!D9*(1+$M$124)</f>
        <v>  60,919,373 </v>
      </c>
      <c r="F124" s="130" t="str">
        <f>'6.Cons Profit &amp; Loss'!E9*(1+$M$124)</f>
        <v>  69,297,953 </v>
      </c>
      <c r="G124" s="130" t="str">
        <f>'6.Cons Profit &amp; Loss'!F9*(1+$M$124)</f>
        <v>  78,362,093 </v>
      </c>
      <c r="H124" s="130" t="str">
        <f>'6.Cons Profit &amp; Loss'!G9*(1+$M$124)</f>
        <v>  88,159,402 </v>
      </c>
      <c r="I124" s="130" t="str">
        <f>'6.Cons Profit &amp; Loss'!H9*(1+$M$124)</f>
        <v>  98,740,536 </v>
      </c>
      <c r="L124" s="121" t="s">
        <v>193</v>
      </c>
      <c r="M124" s="131">
        <v>0.05</v>
      </c>
    </row>
    <row r="125">
      <c r="B125" s="69" t="str">
        <f>'6.Cons Profit &amp; Loss'!A10</f>
        <v>Faclitiy 3 - Warehouse</v>
      </c>
      <c r="C125" s="130" t="str">
        <f>'6.Cons Profit &amp; Loss'!B10*(1+$M$124)</f>
        <v>  1,058,400 </v>
      </c>
      <c r="D125" s="130" t="str">
        <f>'6.Cons Profit &amp; Loss'!C10*(1+$M$124)</f>
        <v>  1,190,700 </v>
      </c>
      <c r="E125" s="130" t="str">
        <f>'6.Cons Profit &amp; Loss'!D10*(1+$M$124)</f>
        <v>  1,333,584 </v>
      </c>
      <c r="F125" s="130" t="str">
        <f>'6.Cons Profit &amp; Loss'!E10*(1+$M$124)</f>
        <v>  1,487,780 </v>
      </c>
      <c r="G125" s="130" t="str">
        <f>'6.Cons Profit &amp; Loss'!F10*(1+$M$124)</f>
        <v>  1,654,061 </v>
      </c>
      <c r="H125" s="130" t="str">
        <f>'6.Cons Profit &amp; Loss'!G10*(1+$M$124)</f>
        <v>  1,833,251 </v>
      </c>
      <c r="I125" s="130" t="str">
        <f>'6.Cons Profit &amp; Loss'!H10*(1+$M$124)</f>
        <v>  2,026,225 </v>
      </c>
      <c r="L125" s="121" t="s">
        <v>194</v>
      </c>
      <c r="M125" s="131">
        <v>0.05</v>
      </c>
    </row>
    <row r="126">
      <c r="B126" s="69" t="str">
        <f>'6.Cons Profit &amp; Loss'!A11</f>
        <v>Faclitiy 4 - Custom Hiring </v>
      </c>
      <c r="C126" s="130" t="str">
        <f>'6.Cons Profit &amp; Loss'!B11*(1+$M$124)</f>
        <v>  -   </v>
      </c>
      <c r="D126" s="130" t="str">
        <f>'6.Cons Profit &amp; Loss'!C11*(1+$M$124)</f>
        <v>  -   </v>
      </c>
      <c r="E126" s="130" t="str">
        <f>'6.Cons Profit &amp; Loss'!D11*(1+$M$124)</f>
        <v>  -   </v>
      </c>
      <c r="F126" s="130" t="str">
        <f>'6.Cons Profit &amp; Loss'!E11*(1+$M$124)</f>
        <v>  -   </v>
      </c>
      <c r="G126" s="130" t="str">
        <f>'6.Cons Profit &amp; Loss'!F11*(1+$M$124)</f>
        <v>  -   </v>
      </c>
      <c r="H126" s="130" t="str">
        <f>'6.Cons Profit &amp; Loss'!G11*(1+$M$124)</f>
        <v>  -   </v>
      </c>
      <c r="I126" s="130" t="str">
        <f>'6.Cons Profit &amp; Loss'!H11*(1+$M$124)</f>
        <v>  -   </v>
      </c>
    </row>
    <row r="127">
      <c r="B127" s="69" t="str">
        <f>'6.Cons Profit &amp; Loss'!A12</f>
        <v>Faclitiy 5 - Agri Input Centre</v>
      </c>
      <c r="C127" s="130" t="str">
        <f>'6.Cons Profit &amp; Loss'!B12*(1+$M$124)</f>
        <v>  -   </v>
      </c>
      <c r="D127" s="130" t="str">
        <f>'6.Cons Profit &amp; Loss'!C12*(1+$M$124)</f>
        <v>  -   </v>
      </c>
      <c r="E127" s="130" t="str">
        <f>'6.Cons Profit &amp; Loss'!D12*(1+$M$124)</f>
        <v>  -   </v>
      </c>
      <c r="F127" s="130" t="str">
        <f>'6.Cons Profit &amp; Loss'!E12*(1+$M$124)</f>
        <v>  -   </v>
      </c>
      <c r="G127" s="130" t="str">
        <f>'6.Cons Profit &amp; Loss'!F12*(1+$M$124)</f>
        <v>  -   </v>
      </c>
      <c r="H127" s="130" t="str">
        <f>'6.Cons Profit &amp; Loss'!G12*(1+$M$124)</f>
        <v>  -   </v>
      </c>
      <c r="I127" s="130" t="str">
        <f>'6.Cons Profit &amp; Loss'!H12*(1+$M$124)</f>
        <v>  -   </v>
      </c>
    </row>
    <row r="128">
      <c r="B128" s="69" t="str">
        <f>'6.Cons Profit &amp; Loss'!A13</f>
        <v>Facility 6 - Processing Unit - Horti Commodity</v>
      </c>
      <c r="C128" s="130" t="str">
        <f>'6.Cons Profit &amp; Loss'!B13*(1+$M$124)</f>
        <v>  -   </v>
      </c>
      <c r="D128" s="130" t="str">
        <f>'6.Cons Profit &amp; Loss'!C13*(1+$M$124)</f>
        <v>  -   </v>
      </c>
      <c r="E128" s="130" t="str">
        <f>'6.Cons Profit &amp; Loss'!D13*(1+$M$124)</f>
        <v>  -   </v>
      </c>
      <c r="F128" s="130" t="str">
        <f>'6.Cons Profit &amp; Loss'!E13*(1+$M$124)</f>
        <v>  -   </v>
      </c>
      <c r="G128" s="130" t="str">
        <f>'6.Cons Profit &amp; Loss'!F13*(1+$M$124)</f>
        <v>  -   </v>
      </c>
      <c r="H128" s="130" t="str">
        <f>'6.Cons Profit &amp; Loss'!G13*(1+$M$124)</f>
        <v>  -   </v>
      </c>
      <c r="I128" s="130" t="str">
        <f>'6.Cons Profit &amp; Loss'!H13*(1+$M$124)</f>
        <v>  -   </v>
      </c>
    </row>
    <row r="129">
      <c r="B129" s="69" t="str">
        <f>'6.Cons Profit &amp; Loss'!A14</f>
        <v/>
      </c>
      <c r="C129" s="130" t="str">
        <f>'6.Cons Profit &amp; Loss'!B14*(1+$M$124)</f>
        <v>  -   </v>
      </c>
      <c r="D129" s="130" t="str">
        <f>'6.Cons Profit &amp; Loss'!C14*(1+$M$124)</f>
        <v>  -   </v>
      </c>
      <c r="E129" s="130" t="str">
        <f>'6.Cons Profit &amp; Loss'!D14*(1+$M$124)</f>
        <v>  -   </v>
      </c>
      <c r="F129" s="130" t="str">
        <f>'6.Cons Profit &amp; Loss'!E14*(1+$M$124)</f>
        <v>  -   </v>
      </c>
      <c r="G129" s="130" t="str">
        <f>'6.Cons Profit &amp; Loss'!F14*(1+$M$124)</f>
        <v>  -   </v>
      </c>
      <c r="H129" s="130" t="str">
        <f>'6.Cons Profit &amp; Loss'!G14*(1+$M$124)</f>
        <v>  -   </v>
      </c>
      <c r="I129" s="130" t="str">
        <f>'6.Cons Profit &amp; Loss'!H14*(1+$M$124)</f>
        <v>  -   </v>
      </c>
    </row>
    <row r="130">
      <c r="B130" s="69" t="s">
        <v>195</v>
      </c>
      <c r="C130" s="130" t="str">
        <f t="shared" ref="C130:I130" si="16">SUM(C123:C129)</f>
        <v>  157,166,255 </v>
      </c>
      <c r="D130" s="130" t="str">
        <f t="shared" si="16"/>
        <v>  184,048,593 </v>
      </c>
      <c r="E130" s="130" t="str">
        <f t="shared" si="16"/>
        <v>  210,786,128 </v>
      </c>
      <c r="F130" s="130" t="str">
        <f t="shared" si="16"/>
        <v>  239,763,290 </v>
      </c>
      <c r="G130" s="130" t="str">
        <f t="shared" si="16"/>
        <v>  271,111,204 </v>
      </c>
      <c r="H130" s="130" t="str">
        <f t="shared" si="16"/>
        <v>  304,994,500 </v>
      </c>
      <c r="I130" s="130" t="str">
        <f t="shared" si="16"/>
        <v>  341,588,348 </v>
      </c>
    </row>
    <row r="131">
      <c r="B131" s="69" t="s">
        <v>196</v>
      </c>
      <c r="C131" s="130"/>
      <c r="D131" s="130"/>
      <c r="E131" s="130"/>
      <c r="F131" s="130"/>
      <c r="G131" s="130"/>
      <c r="H131" s="130"/>
      <c r="I131" s="130"/>
    </row>
    <row r="132">
      <c r="B132" s="69" t="s">
        <v>197</v>
      </c>
      <c r="C132" s="130" t="str">
        <f>'6.Cons Profit &amp; Loss'!B36</f>
        <v>  3,396,000 </v>
      </c>
      <c r="D132" s="130" t="str">
        <f>'6.Cons Profit &amp; Loss'!C36</f>
        <v>  3,583,800 </v>
      </c>
      <c r="E132" s="130" t="str">
        <f>'6.Cons Profit &amp; Loss'!D36</f>
        <v>  3,784,590 </v>
      </c>
      <c r="F132" s="130" t="str">
        <f>'6.Cons Profit &amp; Loss'!E36</f>
        <v>  3,999,740 </v>
      </c>
      <c r="G132" s="130" t="str">
        <f>'6.Cons Profit &amp; Loss'!F36</f>
        <v>  4,230,830 </v>
      </c>
      <c r="H132" s="130" t="str">
        <f>'6.Cons Profit &amp; Loss'!G36</f>
        <v>  4,479,697 </v>
      </c>
      <c r="I132" s="130" t="str">
        <f>'6.Cons Profit &amp; Loss'!H36</f>
        <v>  4,748,471 </v>
      </c>
    </row>
    <row r="133">
      <c r="B133" s="69" t="s">
        <v>198</v>
      </c>
      <c r="C133" s="130" t="str">
        <f>'6.Cons Profit &amp; Loss'!B25*(1+M124)</f>
        <v>  147,505,669 </v>
      </c>
      <c r="D133" s="130" t="str">
        <f>'6.Cons Profit &amp; Loss'!C25*(1+N124)</f>
        <v>  165,067,801 </v>
      </c>
      <c r="E133" s="130" t="str">
        <f>'6.Cons Profit &amp; Loss'!D25*(1+O124)</f>
        <v>  189,061,831 </v>
      </c>
      <c r="F133" s="130" t="str">
        <f>'6.Cons Profit &amp; Loss'!E25*(1+P124)</f>
        <v>  215,042,759 </v>
      </c>
      <c r="G133" s="130" t="str">
        <f>'6.Cons Profit &amp; Loss'!F25*(1+Q124)</f>
        <v>  243,149,307 </v>
      </c>
      <c r="H133" s="130" t="str">
        <f>'6.Cons Profit &amp; Loss'!G25*(1+R124)</f>
        <v>  273,529,103 </v>
      </c>
      <c r="I133" s="130" t="str">
        <f>'6.Cons Profit &amp; Loss'!H25*(1+S124)</f>
        <v>  306,339,224 </v>
      </c>
    </row>
    <row r="134">
      <c r="B134" s="69" t="s">
        <v>199</v>
      </c>
      <c r="C134" s="130" t="str">
        <f t="shared" ref="C134:I134" si="17">SUM(C132:C133)</f>
        <v>  150,901,669 </v>
      </c>
      <c r="D134" s="130" t="str">
        <f t="shared" si="17"/>
        <v>  168,651,601 </v>
      </c>
      <c r="E134" s="130" t="str">
        <f t="shared" si="17"/>
        <v>  192,846,421 </v>
      </c>
      <c r="F134" s="130" t="str">
        <f t="shared" si="17"/>
        <v>  219,042,499 </v>
      </c>
      <c r="G134" s="130" t="str">
        <f t="shared" si="17"/>
        <v>  247,380,137 </v>
      </c>
      <c r="H134" s="130" t="str">
        <f t="shared" si="17"/>
        <v>  278,008,799 </v>
      </c>
      <c r="I134" s="130" t="str">
        <f t="shared" si="17"/>
        <v>  311,087,695 </v>
      </c>
    </row>
    <row r="135">
      <c r="B135" s="71" t="s">
        <v>200</v>
      </c>
      <c r="C135" s="132" t="str">
        <f t="shared" ref="C135:I135" si="18">+C130-C134</f>
        <v>  6,264,586 </v>
      </c>
      <c r="D135" s="132" t="str">
        <f t="shared" si="18"/>
        <v>  15,396,992 </v>
      </c>
      <c r="E135" s="132" t="str">
        <f t="shared" si="18"/>
        <v>  17,939,707 </v>
      </c>
      <c r="F135" s="132" t="str">
        <f t="shared" si="18"/>
        <v>  20,720,792 </v>
      </c>
      <c r="G135" s="132" t="str">
        <f t="shared" si="18"/>
        <v>  23,731,066 </v>
      </c>
      <c r="H135" s="132" t="str">
        <f t="shared" si="18"/>
        <v>  26,985,701 </v>
      </c>
      <c r="I135" s="132" t="str">
        <f t="shared" si="18"/>
        <v>  30,500,653 </v>
      </c>
    </row>
    <row r="136">
      <c r="B136" s="82"/>
      <c r="C136" s="133"/>
      <c r="D136" s="133"/>
      <c r="E136" s="133"/>
      <c r="F136" s="133"/>
      <c r="G136" s="133"/>
      <c r="H136" s="133"/>
      <c r="I136" s="133"/>
    </row>
    <row r="137">
      <c r="B137" s="97" t="s">
        <v>201</v>
      </c>
      <c r="C137" s="98" t="s">
        <v>137</v>
      </c>
      <c r="D137" s="98" t="s">
        <v>138</v>
      </c>
      <c r="E137" s="98" t="s">
        <v>139</v>
      </c>
      <c r="F137" s="98" t="s">
        <v>140</v>
      </c>
      <c r="G137" s="98" t="s">
        <v>141</v>
      </c>
      <c r="H137" s="98" t="s">
        <v>142</v>
      </c>
      <c r="I137" s="98" t="s">
        <v>143</v>
      </c>
    </row>
    <row r="138">
      <c r="B138" s="69" t="str">
        <f t="shared" ref="B138:B144" si="19">B123</f>
        <v>Faclitiy 1 - Cleaning &amp; Grading</v>
      </c>
      <c r="C138" s="134" t="str">
        <f>'6.Cons Profit &amp; Loss'!B8</f>
        <v>  105,016,485 </v>
      </c>
      <c r="D138" s="134" t="str">
        <f>'6.Cons Profit &amp; Loss'!C8</f>
        <v>  123,478,761 </v>
      </c>
      <c r="E138" s="134" t="str">
        <f>'6.Cons Profit &amp; Loss'!D8</f>
        <v>  141,460,163 </v>
      </c>
      <c r="F138" s="134" t="str">
        <f>'6.Cons Profit &amp; Loss'!E8</f>
        <v>  160,931,007 </v>
      </c>
      <c r="G138" s="134" t="str">
        <f>'6.Cons Profit &amp; Loss'!F8</f>
        <v>  181,995,286 </v>
      </c>
      <c r="H138" s="134" t="str">
        <f>'6.Cons Profit &amp; Loss'!G8</f>
        <v>  204,763,664 </v>
      </c>
      <c r="I138" s="134" t="str">
        <f>'6.Cons Profit &amp; Loss'!H8</f>
        <v>  229,353,893 </v>
      </c>
    </row>
    <row r="139">
      <c r="B139" s="69" t="str">
        <f t="shared" si="19"/>
        <v>Faclitiy 2 - Processing Unit - Dal Mill</v>
      </c>
      <c r="C139" s="134" t="str">
        <f>'6.Cons Profit &amp; Loss'!B9</f>
        <v>  43,657,662 </v>
      </c>
      <c r="D139" s="134" t="str">
        <f>'6.Cons Profit &amp; Loss'!C9</f>
        <v>  50,671,613 </v>
      </c>
      <c r="E139" s="134" t="str">
        <f>'6.Cons Profit &amp; Loss'!D9</f>
        <v>  58,018,451 </v>
      </c>
      <c r="F139" s="134" t="str">
        <f>'6.Cons Profit &amp; Loss'!E9</f>
        <v>  65,998,051 </v>
      </c>
      <c r="G139" s="134" t="str">
        <f>'6.Cons Profit &amp; Loss'!F9</f>
        <v>  74,630,565 </v>
      </c>
      <c r="H139" s="134" t="str">
        <f>'6.Cons Profit &amp; Loss'!G9</f>
        <v>  83,961,335 </v>
      </c>
      <c r="I139" s="134" t="str">
        <f>'6.Cons Profit &amp; Loss'!H9</f>
        <v>  94,038,606 </v>
      </c>
    </row>
    <row r="140">
      <c r="B140" s="69" t="str">
        <f t="shared" si="19"/>
        <v>Faclitiy 3 - Warehouse</v>
      </c>
      <c r="C140" s="134" t="str">
        <f>'6.Cons Profit &amp; Loss'!B10</f>
        <v>  1,008,000 </v>
      </c>
      <c r="D140" s="134" t="str">
        <f>'6.Cons Profit &amp; Loss'!C10</f>
        <v>  1,134,000 </v>
      </c>
      <c r="E140" s="134" t="str">
        <f>'6.Cons Profit &amp; Loss'!D10</f>
        <v>  1,270,080 </v>
      </c>
      <c r="F140" s="134" t="str">
        <f>'6.Cons Profit &amp; Loss'!E10</f>
        <v>  1,416,933 </v>
      </c>
      <c r="G140" s="134" t="str">
        <f>'6.Cons Profit &amp; Loss'!F10</f>
        <v>  1,575,296 </v>
      </c>
      <c r="H140" s="134" t="str">
        <f>'6.Cons Profit &amp; Loss'!G10</f>
        <v>  1,745,953 </v>
      </c>
      <c r="I140" s="134" t="str">
        <f>'6.Cons Profit &amp; Loss'!H10</f>
        <v>  1,929,738 </v>
      </c>
    </row>
    <row r="141">
      <c r="B141" s="69" t="str">
        <f t="shared" si="19"/>
        <v>Faclitiy 4 - Custom Hiring </v>
      </c>
      <c r="C141" s="134" t="str">
        <f>'6.Cons Profit &amp; Loss'!B11</f>
        <v>  -   </v>
      </c>
      <c r="D141" s="134" t="str">
        <f>'6.Cons Profit &amp; Loss'!C11</f>
        <v>  -   </v>
      </c>
      <c r="E141" s="134" t="str">
        <f>'6.Cons Profit &amp; Loss'!D11</f>
        <v>  -   </v>
      </c>
      <c r="F141" s="134" t="str">
        <f>'6.Cons Profit &amp; Loss'!E11</f>
        <v>  -   </v>
      </c>
      <c r="G141" s="134" t="str">
        <f>'6.Cons Profit &amp; Loss'!F11</f>
        <v>  -   </v>
      </c>
      <c r="H141" s="134" t="str">
        <f>'6.Cons Profit &amp; Loss'!G11</f>
        <v>  -   </v>
      </c>
      <c r="I141" s="134" t="str">
        <f>'6.Cons Profit &amp; Loss'!H11</f>
        <v>  -   </v>
      </c>
    </row>
    <row r="142">
      <c r="B142" s="69" t="str">
        <f t="shared" si="19"/>
        <v>Faclitiy 5 - Agri Input Centre</v>
      </c>
      <c r="C142" s="134" t="str">
        <f>'6.Cons Profit &amp; Loss'!B12</f>
        <v>  -   </v>
      </c>
      <c r="D142" s="134" t="str">
        <f>'6.Cons Profit &amp; Loss'!C12</f>
        <v>  -   </v>
      </c>
      <c r="E142" s="134" t="str">
        <f>'6.Cons Profit &amp; Loss'!D12</f>
        <v>  -   </v>
      </c>
      <c r="F142" s="134" t="str">
        <f>'6.Cons Profit &amp; Loss'!E12</f>
        <v>  -   </v>
      </c>
      <c r="G142" s="134" t="str">
        <f>'6.Cons Profit &amp; Loss'!F12</f>
        <v>  -   </v>
      </c>
      <c r="H142" s="134" t="str">
        <f>'6.Cons Profit &amp; Loss'!G12</f>
        <v>  -   </v>
      </c>
      <c r="I142" s="134" t="str">
        <f>'6.Cons Profit &amp; Loss'!H12</f>
        <v>  -   </v>
      </c>
    </row>
    <row r="143">
      <c r="B143" s="69" t="str">
        <f t="shared" si="19"/>
        <v>Facility 6 - Processing Unit - Horti Commodity</v>
      </c>
      <c r="C143" s="134" t="str">
        <f>'6.Cons Profit &amp; Loss'!B13</f>
        <v>  -   </v>
      </c>
      <c r="D143" s="134" t="str">
        <f>'6.Cons Profit &amp; Loss'!C13</f>
        <v>  -   </v>
      </c>
      <c r="E143" s="134" t="str">
        <f>'6.Cons Profit &amp; Loss'!D13</f>
        <v>  -   </v>
      </c>
      <c r="F143" s="134" t="str">
        <f>'6.Cons Profit &amp; Loss'!E13</f>
        <v>  -   </v>
      </c>
      <c r="G143" s="134" t="str">
        <f>'6.Cons Profit &amp; Loss'!F13</f>
        <v>  -   </v>
      </c>
      <c r="H143" s="134" t="str">
        <f>'6.Cons Profit &amp; Loss'!G13</f>
        <v>  -   </v>
      </c>
      <c r="I143" s="134" t="str">
        <f>'6.Cons Profit &amp; Loss'!H13</f>
        <v>  -   </v>
      </c>
    </row>
    <row r="144">
      <c r="B144" s="69" t="str">
        <f t="shared" si="19"/>
        <v/>
      </c>
      <c r="C144" s="134" t="str">
        <f>'6.Cons Profit &amp; Loss'!B14</f>
        <v/>
      </c>
      <c r="D144" s="134" t="str">
        <f>'6.Cons Profit &amp; Loss'!C14</f>
        <v/>
      </c>
      <c r="E144" s="134" t="str">
        <f>'6.Cons Profit &amp; Loss'!D14</f>
        <v/>
      </c>
      <c r="F144" s="134" t="str">
        <f>'6.Cons Profit &amp; Loss'!E14</f>
        <v/>
      </c>
      <c r="G144" s="134" t="str">
        <f>'6.Cons Profit &amp; Loss'!F14</f>
        <v/>
      </c>
      <c r="H144" s="134" t="str">
        <f>'6.Cons Profit &amp; Loss'!G14</f>
        <v/>
      </c>
      <c r="I144" s="134" t="str">
        <f>'6.Cons Profit &amp; Loss'!H14</f>
        <v/>
      </c>
    </row>
    <row r="145">
      <c r="B145" s="69" t="s">
        <v>195</v>
      </c>
      <c r="C145" s="134" t="str">
        <f t="shared" ref="C145:I145" si="20">SUM(C138:C144)</f>
        <v>  149,682,147 </v>
      </c>
      <c r="D145" s="134" t="str">
        <f t="shared" si="20"/>
        <v>  175,284,374 </v>
      </c>
      <c r="E145" s="134" t="str">
        <f t="shared" si="20"/>
        <v>  200,748,693 </v>
      </c>
      <c r="F145" s="134" t="str">
        <f t="shared" si="20"/>
        <v>  228,345,991 </v>
      </c>
      <c r="G145" s="134" t="str">
        <f t="shared" si="20"/>
        <v>  258,201,146 </v>
      </c>
      <c r="H145" s="134" t="str">
        <f t="shared" si="20"/>
        <v>  290,470,953 </v>
      </c>
      <c r="I145" s="134" t="str">
        <f t="shared" si="20"/>
        <v>  325,322,237 </v>
      </c>
    </row>
    <row r="146">
      <c r="B146" s="69" t="s">
        <v>196</v>
      </c>
      <c r="C146" s="135"/>
      <c r="D146" s="134"/>
      <c r="E146" s="134"/>
      <c r="F146" s="134"/>
      <c r="G146" s="134"/>
      <c r="H146" s="134"/>
      <c r="I146" s="134"/>
    </row>
    <row r="147">
      <c r="B147" s="69" t="s">
        <v>197</v>
      </c>
      <c r="C147" s="136" t="str">
        <f>'6.Cons Profit &amp; Loss'!B36</f>
        <v>  3,396,000.00 </v>
      </c>
      <c r="D147" s="136" t="str">
        <f>'6.Cons Profit &amp; Loss'!C36</f>
        <v>  3,583,800.00 </v>
      </c>
      <c r="E147" s="136" t="str">
        <f>'6.Cons Profit &amp; Loss'!D36</f>
        <v>  3,784,590.00 </v>
      </c>
      <c r="F147" s="136" t="str">
        <f>'6.Cons Profit &amp; Loss'!E36</f>
        <v>  3,999,739.50 </v>
      </c>
      <c r="G147" s="136" t="str">
        <f>'6.Cons Profit &amp; Loss'!F36</f>
        <v>  4,230,830.48 </v>
      </c>
      <c r="H147" s="136" t="str">
        <f>'6.Cons Profit &amp; Loss'!G36</f>
        <v>  4,479,696.80 </v>
      </c>
      <c r="I147" s="136" t="str">
        <f>'6.Cons Profit &amp; Loss'!H36</f>
        <v>  4,748,471.40 </v>
      </c>
    </row>
    <row r="148">
      <c r="B148" s="69" t="s">
        <v>198</v>
      </c>
      <c r="C148" s="136" t="str">
        <f>'6.Cons Profit &amp; Loss'!B25*(1+$M$125)</f>
        <v>  147,505,669.21 </v>
      </c>
      <c r="D148" s="136" t="str">
        <f>'6.Cons Profit &amp; Loss'!C25*(1+$M$125)</f>
        <v>  173,321,191.40 </v>
      </c>
      <c r="E148" s="136" t="str">
        <f>'6.Cons Profit &amp; Loss'!D25*(1+$M$125)</f>
        <v>  198,514,922.51 </v>
      </c>
      <c r="F148" s="136" t="str">
        <f>'6.Cons Profit &amp; Loss'!E25*(1+$M$125)</f>
        <v>  225,794,897.01 </v>
      </c>
      <c r="G148" s="136" t="str">
        <f>'6.Cons Profit &amp; Loss'!F25*(1+$M$125)</f>
        <v>  255,306,772.22 </v>
      </c>
      <c r="H148" s="136" t="str">
        <f>'6.Cons Profit &amp; Loss'!G25*(1+$M$125)</f>
        <v>  287,205,557.76 </v>
      </c>
      <c r="I148" s="136" t="str">
        <f>'6.Cons Profit &amp; Loss'!H25*(1+$M$125)</f>
        <v>  321,656,185.00 </v>
      </c>
    </row>
    <row r="149">
      <c r="B149" s="69" t="s">
        <v>199</v>
      </c>
      <c r="C149" s="136" t="str">
        <f t="shared" ref="C149:I149" si="21">SUM(C147:C148)</f>
        <v>  150,901,669.21 </v>
      </c>
      <c r="D149" s="136" t="str">
        <f t="shared" si="21"/>
        <v>  176,904,991.40 </v>
      </c>
      <c r="E149" s="136" t="str">
        <f t="shared" si="21"/>
        <v>  202,299,512.51 </v>
      </c>
      <c r="F149" s="136" t="str">
        <f t="shared" si="21"/>
        <v>  229,794,636.51 </v>
      </c>
      <c r="G149" s="136" t="str">
        <f t="shared" si="21"/>
        <v>  259,537,602.70 </v>
      </c>
      <c r="H149" s="136" t="str">
        <f t="shared" si="21"/>
        <v>  291,685,254.56 </v>
      </c>
      <c r="I149" s="136" t="str">
        <f t="shared" si="21"/>
        <v>  326,404,656.40 </v>
      </c>
    </row>
    <row r="150">
      <c r="B150" s="71" t="s">
        <v>200</v>
      </c>
      <c r="C150" s="137" t="str">
        <f t="shared" ref="C150:I150" si="22">+C145-C149</f>
        <v>  (1,219,521.84)</v>
      </c>
      <c r="D150" s="137" t="str">
        <f t="shared" si="22"/>
        <v>  (1,620,617.25)</v>
      </c>
      <c r="E150" s="137" t="str">
        <f t="shared" si="22"/>
        <v>  (1,550,819.21)</v>
      </c>
      <c r="F150" s="137" t="str">
        <f t="shared" si="22"/>
        <v>  (1,448,645.63)</v>
      </c>
      <c r="G150" s="137" t="str">
        <f t="shared" si="22"/>
        <v>  (1,336,456.22)</v>
      </c>
      <c r="H150" s="137" t="str">
        <f t="shared" si="22"/>
        <v>  (1,214,301.90)</v>
      </c>
      <c r="I150" s="137" t="str">
        <f t="shared" si="22"/>
        <v>  (1,082,419.81)</v>
      </c>
      <c r="N150" s="138"/>
      <c r="O150" s="80"/>
    </row>
    <row r="151">
      <c r="B151" s="82"/>
      <c r="C151" s="133"/>
      <c r="D151" s="133"/>
      <c r="E151" s="133"/>
      <c r="F151" s="133"/>
      <c r="G151" s="133"/>
      <c r="H151" s="133"/>
      <c r="I151" s="133"/>
    </row>
    <row r="152">
      <c r="B152" s="97" t="s">
        <v>202</v>
      </c>
      <c r="C152" s="98" t="s">
        <v>137</v>
      </c>
      <c r="D152" s="98" t="s">
        <v>138</v>
      </c>
      <c r="E152" s="98" t="s">
        <v>139</v>
      </c>
      <c r="F152" s="98" t="s">
        <v>140</v>
      </c>
      <c r="G152" s="98" t="s">
        <v>141</v>
      </c>
      <c r="H152" s="98" t="s">
        <v>142</v>
      </c>
      <c r="I152" s="98" t="s">
        <v>143</v>
      </c>
    </row>
    <row r="153">
      <c r="B153" s="69" t="str">
        <f t="shared" ref="B153:B159" si="23">B138</f>
        <v>Faclitiy 1 - Cleaning &amp; Grading</v>
      </c>
      <c r="C153" s="130" t="str">
        <f>'6.Cons Profit &amp; Loss'!B8*(1-$M$124)</f>
        <v>  99,765,661 </v>
      </c>
      <c r="D153" s="130" t="str">
        <f>'6.Cons Profit &amp; Loss'!C8*(1-$M$124)</f>
        <v>  117,304,823 </v>
      </c>
      <c r="E153" s="130" t="str">
        <f>'6.Cons Profit &amp; Loss'!D8*(1-$M$124)</f>
        <v>  134,387,154 </v>
      </c>
      <c r="F153" s="130" t="str">
        <f>'6.Cons Profit &amp; Loss'!E8*(1-$M$124)</f>
        <v>  152,884,457 </v>
      </c>
      <c r="G153" s="130" t="str">
        <f>'6.Cons Profit &amp; Loss'!F8*(1-$M$124)</f>
        <v>  172,895,521 </v>
      </c>
      <c r="H153" s="130" t="str">
        <f>'6.Cons Profit &amp; Loss'!G8*(1-$M$124)</f>
        <v>  194,525,481 </v>
      </c>
      <c r="I153" s="130" t="str">
        <f>'6.Cons Profit &amp; Loss'!H8*(1-$M$124)</f>
        <v>  217,886,198 </v>
      </c>
    </row>
    <row r="154">
      <c r="B154" s="69" t="str">
        <f t="shared" si="23"/>
        <v>Faclitiy 2 - Processing Unit - Dal Mill</v>
      </c>
      <c r="C154" s="130" t="str">
        <f>'6.Cons Profit &amp; Loss'!B9*(1-$M$124)</f>
        <v>  41,474,779 </v>
      </c>
      <c r="D154" s="130" t="str">
        <f>'6.Cons Profit &amp; Loss'!C9*(1-$M$124)</f>
        <v>  48,138,032 </v>
      </c>
      <c r="E154" s="130" t="str">
        <f>'6.Cons Profit &amp; Loss'!D9*(1-$M$124)</f>
        <v>  55,117,528 </v>
      </c>
      <c r="F154" s="130" t="str">
        <f>'6.Cons Profit &amp; Loss'!E9*(1-$M$124)</f>
        <v>  62,698,148 </v>
      </c>
      <c r="G154" s="130" t="str">
        <f>'6.Cons Profit &amp; Loss'!F9*(1-$M$124)</f>
        <v>  70,899,037 </v>
      </c>
      <c r="H154" s="130" t="str">
        <f>'6.Cons Profit &amp; Loss'!G9*(1-$M$124)</f>
        <v>  79,763,268 </v>
      </c>
      <c r="I154" s="130" t="str">
        <f>'6.Cons Profit &amp; Loss'!H9*(1-$M$124)</f>
        <v>  89,336,676 </v>
      </c>
    </row>
    <row r="155">
      <c r="B155" s="69" t="str">
        <f t="shared" si="23"/>
        <v>Faclitiy 3 - Warehouse</v>
      </c>
      <c r="C155" s="130" t="str">
        <f>'6.Cons Profit &amp; Loss'!B10*(1-$M$124)</f>
        <v>  957,600 </v>
      </c>
      <c r="D155" s="130" t="str">
        <f>'6.Cons Profit &amp; Loss'!C10*(1-$M$124)</f>
        <v>  1,077,300 </v>
      </c>
      <c r="E155" s="130" t="str">
        <f>'6.Cons Profit &amp; Loss'!D10*(1-$M$124)</f>
        <v>  1,206,576 </v>
      </c>
      <c r="F155" s="130" t="str">
        <f>'6.Cons Profit &amp; Loss'!E10*(1-$M$124)</f>
        <v>  1,346,086 </v>
      </c>
      <c r="G155" s="130" t="str">
        <f>'6.Cons Profit &amp; Loss'!F10*(1-$M$124)</f>
        <v>  1,496,531 </v>
      </c>
      <c r="H155" s="130" t="str">
        <f>'6.Cons Profit &amp; Loss'!G10*(1-$M$124)</f>
        <v>  1,658,656 </v>
      </c>
      <c r="I155" s="130" t="str">
        <f>'6.Cons Profit &amp; Loss'!H10*(1-$M$124)</f>
        <v>  1,833,251 </v>
      </c>
    </row>
    <row r="156">
      <c r="B156" s="69" t="str">
        <f t="shared" si="23"/>
        <v>Faclitiy 4 - Custom Hiring </v>
      </c>
      <c r="C156" s="130" t="str">
        <f>'6.Cons Profit &amp; Loss'!B11*(1-$M$124)</f>
        <v>  -   </v>
      </c>
      <c r="D156" s="130" t="str">
        <f>'6.Cons Profit &amp; Loss'!C11*(1-$M$124)</f>
        <v>  -   </v>
      </c>
      <c r="E156" s="130" t="str">
        <f>'6.Cons Profit &amp; Loss'!D11*(1-$M$124)</f>
        <v>  -   </v>
      </c>
      <c r="F156" s="130" t="str">
        <f>'6.Cons Profit &amp; Loss'!E11*(1-$M$124)</f>
        <v>  -   </v>
      </c>
      <c r="G156" s="130" t="str">
        <f>'6.Cons Profit &amp; Loss'!F11*(1-$M$124)</f>
        <v>  -   </v>
      </c>
      <c r="H156" s="130" t="str">
        <f>'6.Cons Profit &amp; Loss'!G11*(1-$M$124)</f>
        <v>  -   </v>
      </c>
      <c r="I156" s="130" t="str">
        <f>'6.Cons Profit &amp; Loss'!H11*(1-$M$124)</f>
        <v>  -   </v>
      </c>
    </row>
    <row r="157">
      <c r="B157" s="69" t="str">
        <f t="shared" si="23"/>
        <v>Faclitiy 5 - Agri Input Centre</v>
      </c>
      <c r="C157" s="130" t="str">
        <f>'6.Cons Profit &amp; Loss'!B12*(1-$M$124)</f>
        <v>  -   </v>
      </c>
      <c r="D157" s="130" t="str">
        <f>'6.Cons Profit &amp; Loss'!C12*(1-$M$124)</f>
        <v>  -   </v>
      </c>
      <c r="E157" s="130" t="str">
        <f>'6.Cons Profit &amp; Loss'!D12*(1-$M$124)</f>
        <v>  -   </v>
      </c>
      <c r="F157" s="130" t="str">
        <f>'6.Cons Profit &amp; Loss'!E12*(1-$M$124)</f>
        <v>  -   </v>
      </c>
      <c r="G157" s="130" t="str">
        <f>'6.Cons Profit &amp; Loss'!F12*(1-$M$124)</f>
        <v>  -   </v>
      </c>
      <c r="H157" s="130" t="str">
        <f>'6.Cons Profit &amp; Loss'!G12*(1-$M$124)</f>
        <v>  -   </v>
      </c>
      <c r="I157" s="130" t="str">
        <f>'6.Cons Profit &amp; Loss'!H12*(1-$M$124)</f>
        <v>  -   </v>
      </c>
    </row>
    <row r="158">
      <c r="B158" s="69" t="str">
        <f t="shared" si="23"/>
        <v>Facility 6 - Processing Unit - Horti Commodity</v>
      </c>
      <c r="C158" s="130" t="str">
        <f>'6.Cons Profit &amp; Loss'!B13*(1-$M$124)</f>
        <v>  -   </v>
      </c>
      <c r="D158" s="130" t="str">
        <f>'6.Cons Profit &amp; Loss'!C13*(1-$M$124)</f>
        <v>  -   </v>
      </c>
      <c r="E158" s="130" t="str">
        <f>'6.Cons Profit &amp; Loss'!D13*(1-$M$124)</f>
        <v>  -   </v>
      </c>
      <c r="F158" s="130" t="str">
        <f>'6.Cons Profit &amp; Loss'!E13*(1-$M$124)</f>
        <v>  -   </v>
      </c>
      <c r="G158" s="130" t="str">
        <f>'6.Cons Profit &amp; Loss'!F13*(1-$M$124)</f>
        <v>  -   </v>
      </c>
      <c r="H158" s="130" t="str">
        <f>'6.Cons Profit &amp; Loss'!G13*(1-$M$124)</f>
        <v>  -   </v>
      </c>
      <c r="I158" s="130" t="str">
        <f>'6.Cons Profit &amp; Loss'!H13*(1-$M$124)</f>
        <v>  -   </v>
      </c>
    </row>
    <row r="159">
      <c r="B159" s="69" t="str">
        <f t="shared" si="23"/>
        <v/>
      </c>
      <c r="C159" s="130" t="str">
        <f>'6.Cons Profit &amp; Loss'!B14*(1-$M$124)</f>
        <v>  -   </v>
      </c>
      <c r="D159" s="130" t="str">
        <f>'6.Cons Profit &amp; Loss'!C14*(1-$M$124)</f>
        <v>  -   </v>
      </c>
      <c r="E159" s="130" t="str">
        <f>'6.Cons Profit &amp; Loss'!D14*(1-$M$124)</f>
        <v>  -   </v>
      </c>
      <c r="F159" s="130" t="str">
        <f>'6.Cons Profit &amp; Loss'!E14*(1-$M$124)</f>
        <v>  -   </v>
      </c>
      <c r="G159" s="130" t="str">
        <f>'6.Cons Profit &amp; Loss'!F14*(1-$M$124)</f>
        <v>  -   </v>
      </c>
      <c r="H159" s="130" t="str">
        <f>'6.Cons Profit &amp; Loss'!G14*(1-$M$124)</f>
        <v>  -   </v>
      </c>
      <c r="I159" s="130" t="str">
        <f>'6.Cons Profit &amp; Loss'!H14*(1-$M$124)</f>
        <v>  -   </v>
      </c>
    </row>
    <row r="160">
      <c r="B160" s="69" t="s">
        <v>195</v>
      </c>
      <c r="C160" s="130" t="str">
        <f t="shared" ref="C160:I160" si="24">SUM(C153:C159)</f>
        <v>  142,198,040 </v>
      </c>
      <c r="D160" s="130" t="str">
        <f t="shared" si="24"/>
        <v>  166,520,155 </v>
      </c>
      <c r="E160" s="130" t="str">
        <f t="shared" si="24"/>
        <v>  190,711,259 </v>
      </c>
      <c r="F160" s="130" t="str">
        <f t="shared" si="24"/>
        <v>  216,928,691 </v>
      </c>
      <c r="G160" s="130" t="str">
        <f t="shared" si="24"/>
        <v>  245,291,089 </v>
      </c>
      <c r="H160" s="130" t="str">
        <f t="shared" si="24"/>
        <v>  275,947,405 </v>
      </c>
      <c r="I160" s="130" t="str">
        <f t="shared" si="24"/>
        <v>  309,056,125 </v>
      </c>
    </row>
    <row r="161">
      <c r="B161" s="69" t="s">
        <v>196</v>
      </c>
      <c r="C161" s="130"/>
      <c r="D161" s="130"/>
      <c r="E161" s="130"/>
      <c r="F161" s="130"/>
      <c r="G161" s="130"/>
      <c r="H161" s="130"/>
      <c r="I161" s="130"/>
    </row>
    <row r="162">
      <c r="B162" s="69" t="s">
        <v>197</v>
      </c>
      <c r="C162" s="130" t="str">
        <f>'6.Cons Profit &amp; Loss'!B36</f>
        <v>  3,396,000 </v>
      </c>
      <c r="D162" s="130" t="str">
        <f>'6.Cons Profit &amp; Loss'!C36</f>
        <v>  3,583,800 </v>
      </c>
      <c r="E162" s="130" t="str">
        <f>'6.Cons Profit &amp; Loss'!D36</f>
        <v>  3,784,590 </v>
      </c>
      <c r="F162" s="130" t="str">
        <f>'6.Cons Profit &amp; Loss'!E36</f>
        <v>  3,999,740 </v>
      </c>
      <c r="G162" s="130" t="str">
        <f>'6.Cons Profit &amp; Loss'!F36</f>
        <v>  4,230,830 </v>
      </c>
      <c r="H162" s="130" t="str">
        <f>'6.Cons Profit &amp; Loss'!G36</f>
        <v>  4,479,697 </v>
      </c>
      <c r="I162" s="130" t="str">
        <f>'6.Cons Profit &amp; Loss'!H36</f>
        <v>  4,748,471 </v>
      </c>
    </row>
    <row r="163">
      <c r="B163" s="69" t="s">
        <v>198</v>
      </c>
      <c r="C163" s="130" t="str">
        <f>'6.Cons Profit &amp; Loss'!B25*(1-$M$124)</f>
        <v>  133,457,510 </v>
      </c>
      <c r="D163" s="130" t="str">
        <f>'6.Cons Profit &amp; Loss'!C25*(1-$M$124)</f>
        <v>  156,814,411 </v>
      </c>
      <c r="E163" s="130" t="str">
        <f>'6.Cons Profit &amp; Loss'!D25*(1-$M$124)</f>
        <v>  179,608,739 </v>
      </c>
      <c r="F163" s="130" t="str">
        <f>'6.Cons Profit &amp; Loss'!E25*(1-$M$124)</f>
        <v>  204,290,621 </v>
      </c>
      <c r="G163" s="130" t="str">
        <f>'6.Cons Profit &amp; Loss'!F25*(1-$M$124)</f>
        <v>  230,991,842 </v>
      </c>
      <c r="H163" s="130" t="str">
        <f>'6.Cons Profit &amp; Loss'!G25*(1-$M$124)</f>
        <v>  259,852,648 </v>
      </c>
      <c r="I163" s="130" t="str">
        <f>'6.Cons Profit &amp; Loss'!H25*(1-$M$124)</f>
        <v>  291,022,263 </v>
      </c>
    </row>
    <row r="164">
      <c r="B164" s="69" t="s">
        <v>199</v>
      </c>
      <c r="C164" s="130" t="str">
        <f t="shared" ref="C164:I164" si="25">SUM(C162:C163)</f>
        <v>  136,853,510 </v>
      </c>
      <c r="D164" s="130" t="str">
        <f t="shared" si="25"/>
        <v>  160,398,211 </v>
      </c>
      <c r="E164" s="130" t="str">
        <f t="shared" si="25"/>
        <v>  183,393,329 </v>
      </c>
      <c r="F164" s="130" t="str">
        <f t="shared" si="25"/>
        <v>  208,290,361 </v>
      </c>
      <c r="G164" s="130" t="str">
        <f t="shared" si="25"/>
        <v>  235,222,672 </v>
      </c>
      <c r="H164" s="130" t="str">
        <f t="shared" si="25"/>
        <v>  264,332,344 </v>
      </c>
      <c r="I164" s="130" t="str">
        <f t="shared" si="25"/>
        <v>  295,770,734 </v>
      </c>
    </row>
    <row r="165">
      <c r="B165" s="71" t="s">
        <v>200</v>
      </c>
      <c r="C165" s="132" t="str">
        <f t="shared" ref="C165:I165" si="26">+C160-C164</f>
        <v>  5,344,530 </v>
      </c>
      <c r="D165" s="132" t="str">
        <f t="shared" si="26"/>
        <v>  6,121,944 </v>
      </c>
      <c r="E165" s="132" t="str">
        <f t="shared" si="26"/>
        <v>  7,317,929 </v>
      </c>
      <c r="F165" s="132" t="str">
        <f t="shared" si="26"/>
        <v>  8,638,331 </v>
      </c>
      <c r="G165" s="132" t="str">
        <f t="shared" si="26"/>
        <v>  10,068,417 </v>
      </c>
      <c r="H165" s="132" t="str">
        <f t="shared" si="26"/>
        <v>  11,615,061 </v>
      </c>
      <c r="I165" s="132" t="str">
        <f t="shared" si="26"/>
        <v>  13,285,391 </v>
      </c>
    </row>
    <row r="166">
      <c r="B166" s="120"/>
      <c r="C166" s="133"/>
      <c r="D166" s="133"/>
      <c r="E166" s="133"/>
      <c r="F166" s="133"/>
      <c r="G166" s="133"/>
      <c r="H166" s="133"/>
      <c r="I166" s="133"/>
    </row>
    <row r="167">
      <c r="B167" s="97" t="s">
        <v>203</v>
      </c>
      <c r="C167" s="98" t="s">
        <v>137</v>
      </c>
      <c r="D167" s="98" t="s">
        <v>138</v>
      </c>
      <c r="E167" s="98" t="s">
        <v>139</v>
      </c>
      <c r="F167" s="98" t="s">
        <v>140</v>
      </c>
      <c r="G167" s="98" t="s">
        <v>141</v>
      </c>
      <c r="H167" s="98" t="s">
        <v>142</v>
      </c>
      <c r="I167" s="98" t="s">
        <v>143</v>
      </c>
    </row>
    <row r="168">
      <c r="B168" s="69" t="str">
        <f t="shared" ref="B168:B174" si="27">B153</f>
        <v>Faclitiy 1 - Cleaning &amp; Grading</v>
      </c>
      <c r="C168" s="134" t="str">
        <f>'6.Cons Profit &amp; Loss'!B8</f>
        <v>  105,016,485 </v>
      </c>
      <c r="D168" s="134" t="str">
        <f>'6.Cons Profit &amp; Loss'!C8</f>
        <v>  123,478,761 </v>
      </c>
      <c r="E168" s="134" t="str">
        <f>'6.Cons Profit &amp; Loss'!D8</f>
        <v>  141,460,163 </v>
      </c>
      <c r="F168" s="134" t="str">
        <f>'6.Cons Profit &amp; Loss'!E8</f>
        <v>  160,931,007 </v>
      </c>
      <c r="G168" s="134" t="str">
        <f>'6.Cons Profit &amp; Loss'!F8</f>
        <v>  181,995,286 </v>
      </c>
      <c r="H168" s="134" t="str">
        <f>'6.Cons Profit &amp; Loss'!G8</f>
        <v>  204,763,664 </v>
      </c>
      <c r="I168" s="134" t="str">
        <f>'6.Cons Profit &amp; Loss'!H8</f>
        <v>  229,353,893 </v>
      </c>
    </row>
    <row r="169">
      <c r="B169" s="69" t="str">
        <f t="shared" si="27"/>
        <v>Faclitiy 2 - Processing Unit - Dal Mill</v>
      </c>
      <c r="C169" s="134" t="str">
        <f>'6.Cons Profit &amp; Loss'!B9</f>
        <v>  43,657,662 </v>
      </c>
      <c r="D169" s="134" t="str">
        <f>'6.Cons Profit &amp; Loss'!C9</f>
        <v>  50,671,613 </v>
      </c>
      <c r="E169" s="134" t="str">
        <f>'6.Cons Profit &amp; Loss'!D9</f>
        <v>  58,018,451 </v>
      </c>
      <c r="F169" s="134" t="str">
        <f>'6.Cons Profit &amp; Loss'!E9</f>
        <v>  65,998,051 </v>
      </c>
      <c r="G169" s="134" t="str">
        <f>'6.Cons Profit &amp; Loss'!F9</f>
        <v>  74,630,565 </v>
      </c>
      <c r="H169" s="134" t="str">
        <f>'6.Cons Profit &amp; Loss'!G9</f>
        <v>  83,961,335 </v>
      </c>
      <c r="I169" s="134" t="str">
        <f>'6.Cons Profit &amp; Loss'!H9</f>
        <v>  94,038,606 </v>
      </c>
    </row>
    <row r="170">
      <c r="B170" s="69" t="str">
        <f t="shared" si="27"/>
        <v>Faclitiy 3 - Warehouse</v>
      </c>
      <c r="C170" s="134" t="str">
        <f>'6.Cons Profit &amp; Loss'!B10</f>
        <v>  1,008,000 </v>
      </c>
      <c r="D170" s="134" t="str">
        <f>'6.Cons Profit &amp; Loss'!C10</f>
        <v>  1,134,000 </v>
      </c>
      <c r="E170" s="134" t="str">
        <f>'6.Cons Profit &amp; Loss'!D10</f>
        <v>  1,270,080 </v>
      </c>
      <c r="F170" s="134" t="str">
        <f>'6.Cons Profit &amp; Loss'!E10</f>
        <v>  1,416,933 </v>
      </c>
      <c r="G170" s="134" t="str">
        <f>'6.Cons Profit &amp; Loss'!F10</f>
        <v>  1,575,296 </v>
      </c>
      <c r="H170" s="134" t="str">
        <f>'6.Cons Profit &amp; Loss'!G10</f>
        <v>  1,745,953 </v>
      </c>
      <c r="I170" s="134" t="str">
        <f>'6.Cons Profit &amp; Loss'!H10</f>
        <v>  1,929,738 </v>
      </c>
    </row>
    <row r="171">
      <c r="B171" s="69" t="str">
        <f t="shared" si="27"/>
        <v>Faclitiy 4 - Custom Hiring </v>
      </c>
      <c r="C171" s="134" t="str">
        <f>'6.Cons Profit &amp; Loss'!B11</f>
        <v>  -   </v>
      </c>
      <c r="D171" s="134" t="str">
        <f>'6.Cons Profit &amp; Loss'!C11</f>
        <v>  -   </v>
      </c>
      <c r="E171" s="134" t="str">
        <f>'6.Cons Profit &amp; Loss'!D11</f>
        <v>  -   </v>
      </c>
      <c r="F171" s="134" t="str">
        <f>'6.Cons Profit &amp; Loss'!E11</f>
        <v>  -   </v>
      </c>
      <c r="G171" s="134" t="str">
        <f>'6.Cons Profit &amp; Loss'!F11</f>
        <v>  -   </v>
      </c>
      <c r="H171" s="134" t="str">
        <f>'6.Cons Profit &amp; Loss'!G11</f>
        <v>  -   </v>
      </c>
      <c r="I171" s="134" t="str">
        <f>'6.Cons Profit &amp; Loss'!H11</f>
        <v>  -   </v>
      </c>
    </row>
    <row r="172">
      <c r="B172" s="69" t="str">
        <f t="shared" si="27"/>
        <v>Faclitiy 5 - Agri Input Centre</v>
      </c>
      <c r="C172" s="134" t="str">
        <f>'6.Cons Profit &amp; Loss'!B12</f>
        <v>  -   </v>
      </c>
      <c r="D172" s="134" t="str">
        <f>'6.Cons Profit &amp; Loss'!C12</f>
        <v>  -   </v>
      </c>
      <c r="E172" s="134" t="str">
        <f>'6.Cons Profit &amp; Loss'!D12</f>
        <v>  -   </v>
      </c>
      <c r="F172" s="134" t="str">
        <f>'6.Cons Profit &amp; Loss'!E12</f>
        <v>  -   </v>
      </c>
      <c r="G172" s="134" t="str">
        <f>'6.Cons Profit &amp; Loss'!F12</f>
        <v>  -   </v>
      </c>
      <c r="H172" s="134" t="str">
        <f>'6.Cons Profit &amp; Loss'!G12</f>
        <v>  -   </v>
      </c>
      <c r="I172" s="134" t="str">
        <f>'6.Cons Profit &amp; Loss'!H12</f>
        <v>  -   </v>
      </c>
    </row>
    <row r="173">
      <c r="B173" s="69" t="str">
        <f t="shared" si="27"/>
        <v>Facility 6 - Processing Unit - Horti Commodity</v>
      </c>
      <c r="C173" s="134" t="str">
        <f>'6.Cons Profit &amp; Loss'!B13</f>
        <v>  -   </v>
      </c>
      <c r="D173" s="134" t="str">
        <f>'6.Cons Profit &amp; Loss'!C13</f>
        <v>  -   </v>
      </c>
      <c r="E173" s="134" t="str">
        <f>'6.Cons Profit &amp; Loss'!D13</f>
        <v>  -   </v>
      </c>
      <c r="F173" s="134" t="str">
        <f>'6.Cons Profit &amp; Loss'!E13</f>
        <v>  -   </v>
      </c>
      <c r="G173" s="134" t="str">
        <f>'6.Cons Profit &amp; Loss'!F13</f>
        <v>  -   </v>
      </c>
      <c r="H173" s="134" t="str">
        <f>'6.Cons Profit &amp; Loss'!G13</f>
        <v>  -   </v>
      </c>
      <c r="I173" s="134" t="str">
        <f>'6.Cons Profit &amp; Loss'!H13</f>
        <v>  -   </v>
      </c>
    </row>
    <row r="174">
      <c r="B174" s="69" t="str">
        <f t="shared" si="27"/>
        <v/>
      </c>
      <c r="C174" s="134" t="str">
        <f>'6.Cons Profit &amp; Loss'!B14</f>
        <v/>
      </c>
      <c r="D174" s="134" t="str">
        <f>'6.Cons Profit &amp; Loss'!C14</f>
        <v/>
      </c>
      <c r="E174" s="134" t="str">
        <f>'6.Cons Profit &amp; Loss'!D14</f>
        <v/>
      </c>
      <c r="F174" s="134" t="str">
        <f>'6.Cons Profit &amp; Loss'!E14</f>
        <v/>
      </c>
      <c r="G174" s="134" t="str">
        <f>'6.Cons Profit &amp; Loss'!F14</f>
        <v/>
      </c>
      <c r="H174" s="134" t="str">
        <f>'6.Cons Profit &amp; Loss'!G14</f>
        <v/>
      </c>
      <c r="I174" s="134" t="str">
        <f>'6.Cons Profit &amp; Loss'!H14</f>
        <v/>
      </c>
    </row>
    <row r="175">
      <c r="B175" s="69" t="s">
        <v>195</v>
      </c>
      <c r="C175" s="134" t="str">
        <f t="shared" ref="C175:I175" si="28">SUM(C168:C174)</f>
        <v>  149,682,147 </v>
      </c>
      <c r="D175" s="134" t="str">
        <f t="shared" si="28"/>
        <v>  175,284,374 </v>
      </c>
      <c r="E175" s="134" t="str">
        <f t="shared" si="28"/>
        <v>  200,748,693 </v>
      </c>
      <c r="F175" s="134" t="str">
        <f t="shared" si="28"/>
        <v>  228,345,991 </v>
      </c>
      <c r="G175" s="134" t="str">
        <f t="shared" si="28"/>
        <v>  258,201,146 </v>
      </c>
      <c r="H175" s="134" t="str">
        <f t="shared" si="28"/>
        <v>  290,470,953 </v>
      </c>
      <c r="I175" s="134" t="str">
        <f t="shared" si="28"/>
        <v>  325,322,237 </v>
      </c>
    </row>
    <row r="176">
      <c r="B176" s="69" t="s">
        <v>196</v>
      </c>
      <c r="C176" s="134"/>
      <c r="D176" s="134"/>
      <c r="E176" s="134"/>
      <c r="F176" s="134"/>
      <c r="G176" s="134"/>
      <c r="H176" s="134"/>
      <c r="I176" s="134"/>
    </row>
    <row r="177">
      <c r="B177" s="69" t="s">
        <v>197</v>
      </c>
      <c r="C177" s="134" t="str">
        <f>'6.Cons Profit &amp; Loss'!B36</f>
        <v>  3,396,000 </v>
      </c>
      <c r="D177" s="134" t="str">
        <f>'6.Cons Profit &amp; Loss'!C36</f>
        <v>  3,583,800 </v>
      </c>
      <c r="E177" s="134" t="str">
        <f>'6.Cons Profit &amp; Loss'!D36</f>
        <v>  3,784,590 </v>
      </c>
      <c r="F177" s="134" t="str">
        <f>'6.Cons Profit &amp; Loss'!E36</f>
        <v>  3,999,740 </v>
      </c>
      <c r="G177" s="134" t="str">
        <f>'6.Cons Profit &amp; Loss'!F36</f>
        <v>  4,230,830 </v>
      </c>
      <c r="H177" s="134" t="str">
        <f>'6.Cons Profit &amp; Loss'!G36</f>
        <v>  4,479,697 </v>
      </c>
      <c r="I177" s="134" t="str">
        <f>'6.Cons Profit &amp; Loss'!H36</f>
        <v>  4,748,471 </v>
      </c>
    </row>
    <row r="178">
      <c r="B178" s="69" t="s">
        <v>198</v>
      </c>
      <c r="C178" s="134" t="str">
        <f>'6.Cons Profit &amp; Loss'!B25*(1-$M$125)</f>
        <v>  133,457,510 </v>
      </c>
      <c r="D178" s="134" t="str">
        <f>'6.Cons Profit &amp; Loss'!C25*(1-$M$125)</f>
        <v>  156,814,411 </v>
      </c>
      <c r="E178" s="134" t="str">
        <f>'6.Cons Profit &amp; Loss'!D25*(1-$M$125)</f>
        <v>  179,608,739 </v>
      </c>
      <c r="F178" s="134" t="str">
        <f>'6.Cons Profit &amp; Loss'!E25*(1-$M$125)</f>
        <v>  204,290,621 </v>
      </c>
      <c r="G178" s="134" t="str">
        <f>'6.Cons Profit &amp; Loss'!F25*(1-$M$125)</f>
        <v>  230,991,842 </v>
      </c>
      <c r="H178" s="134" t="str">
        <f>'6.Cons Profit &amp; Loss'!G25*(1-$M$125)</f>
        <v>  259,852,648 </v>
      </c>
      <c r="I178" s="134" t="str">
        <f>'6.Cons Profit &amp; Loss'!H25*(1-$M$125)</f>
        <v>  291,022,263 </v>
      </c>
    </row>
    <row r="179">
      <c r="B179" s="69" t="s">
        <v>199</v>
      </c>
      <c r="C179" s="134" t="str">
        <f t="shared" ref="C179:I179" si="29">SUM(C177:C178)</f>
        <v>  136,853,510 </v>
      </c>
      <c r="D179" s="134" t="str">
        <f t="shared" si="29"/>
        <v>  160,398,211 </v>
      </c>
      <c r="E179" s="134" t="str">
        <f t="shared" si="29"/>
        <v>  183,393,329 </v>
      </c>
      <c r="F179" s="134" t="str">
        <f t="shared" si="29"/>
        <v>  208,290,361 </v>
      </c>
      <c r="G179" s="134" t="str">
        <f t="shared" si="29"/>
        <v>  235,222,672 </v>
      </c>
      <c r="H179" s="134" t="str">
        <f t="shared" si="29"/>
        <v>  264,332,344 </v>
      </c>
      <c r="I179" s="134" t="str">
        <f t="shared" si="29"/>
        <v>  295,770,734 </v>
      </c>
    </row>
    <row r="180">
      <c r="B180" s="71" t="s">
        <v>200</v>
      </c>
      <c r="C180" s="139" t="str">
        <f t="shared" ref="C180:I180" si="30">+C175-C179</f>
        <v>  12,828,637 </v>
      </c>
      <c r="D180" s="139" t="str">
        <f t="shared" si="30"/>
        <v>  14,886,163 </v>
      </c>
      <c r="E180" s="139" t="str">
        <f t="shared" si="30"/>
        <v>  17,355,364 </v>
      </c>
      <c r="F180" s="139" t="str">
        <f t="shared" si="30"/>
        <v>  20,055,630 </v>
      </c>
      <c r="G180" s="139" t="str">
        <f t="shared" si="30"/>
        <v>  22,978,474 </v>
      </c>
      <c r="H180" s="139" t="str">
        <f t="shared" si="30"/>
        <v>  26,138,608 </v>
      </c>
      <c r="I180" s="139" t="str">
        <f t="shared" si="30"/>
        <v>  29,551,503 </v>
      </c>
    </row>
    <row r="182" ht="40.5" customHeight="1">
      <c r="B182" s="140" t="s">
        <v>204</v>
      </c>
      <c r="J182" s="141"/>
      <c r="K182" s="141"/>
      <c r="L182" s="141"/>
      <c r="M182" s="141"/>
    </row>
  </sheetData>
  <mergeCells count="20">
    <mergeCell ref="B24:J24"/>
    <mergeCell ref="D20:J20"/>
    <mergeCell ref="D22:J22"/>
    <mergeCell ref="B75:J75"/>
    <mergeCell ref="B88:I88"/>
    <mergeCell ref="B76:I76"/>
    <mergeCell ref="C82:I82"/>
    <mergeCell ref="C83:I83"/>
    <mergeCell ref="C85:I85"/>
    <mergeCell ref="B121:I121"/>
    <mergeCell ref="B119:J119"/>
    <mergeCell ref="B103:J103"/>
    <mergeCell ref="B90:J90"/>
    <mergeCell ref="B5:J5"/>
    <mergeCell ref="B26:I26"/>
    <mergeCell ref="B54:I54"/>
    <mergeCell ref="B51:J51"/>
    <mergeCell ref="B182:I182"/>
    <mergeCell ref="K121:R121"/>
    <mergeCell ref="B105:I105"/>
  </mergeCells>
  <hyperlinks>
    <hyperlink r:id="rId1" ref="B24"/>
  </hyperlinks>
  <printOptions/>
  <pageMargins bottom="0.75" footer="0.0" header="0.0" left="0.7" right="0.7" top="0.75"/>
  <pageSetup scale="57"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9.71"/>
    <col customWidth="1" min="5" max="5" width="17.0"/>
    <col customWidth="1" min="6" max="6" width="14.0"/>
    <col customWidth="1" min="7" max="7" width="14.14"/>
    <col customWidth="1" min="8" max="8" width="11.57"/>
    <col customWidth="1" min="9" max="12" width="8.71"/>
    <col customWidth="1" min="13" max="13" width="10.0"/>
  </cols>
  <sheetData>
    <row r="1"/>
    <row r="2">
      <c r="A2">
        <v>2.1</v>
      </c>
      <c r="B2" s="25" t="s">
        <v>205</v>
      </c>
    </row>
    <row r="3"/>
    <row r="4">
      <c r="B4" s="142" t="s">
        <v>81</v>
      </c>
      <c r="C4" s="142" t="s">
        <v>82</v>
      </c>
      <c r="D4" s="142" t="s">
        <v>206</v>
      </c>
      <c r="E4" s="142" t="s">
        <v>207</v>
      </c>
      <c r="F4" s="142" t="s">
        <v>208</v>
      </c>
      <c r="G4" s="142" t="s">
        <v>83</v>
      </c>
    </row>
    <row r="5">
      <c r="B5" s="143">
        <v>1.0</v>
      </c>
      <c r="C5" s="143" t="s">
        <v>209</v>
      </c>
      <c r="D5" s="143" t="s">
        <v>210</v>
      </c>
      <c r="E5" s="144"/>
      <c r="F5" s="145"/>
      <c r="G5" s="146" t="s">
        <v>211</v>
      </c>
    </row>
    <row r="6">
      <c r="B6" s="143">
        <v>2.0</v>
      </c>
      <c r="C6" s="143" t="s">
        <v>212</v>
      </c>
      <c r="D6" s="147" t="s">
        <v>213</v>
      </c>
      <c r="E6" s="148">
        <v>1000.0</v>
      </c>
      <c r="F6" s="149" t="str">
        <f t="shared" ref="F6:F7" si="1">+G6/E6</f>
        <v>  11,989 </v>
      </c>
      <c r="G6" s="150">
        <v>1.19887E7</v>
      </c>
    </row>
    <row r="7">
      <c r="B7" s="143">
        <v>3.0</v>
      </c>
      <c r="C7" s="143" t="s">
        <v>214</v>
      </c>
      <c r="D7" s="147" t="s">
        <v>215</v>
      </c>
      <c r="E7" s="148">
        <v>300.0</v>
      </c>
      <c r="F7" s="149" t="str">
        <f t="shared" si="1"/>
        <v>  18,604 </v>
      </c>
      <c r="G7" s="150">
        <v>5581062.0</v>
      </c>
    </row>
    <row r="8">
      <c r="B8" s="143">
        <v>4.0</v>
      </c>
      <c r="C8" s="143"/>
      <c r="D8" s="147"/>
      <c r="E8" s="151">
        <v>0.0</v>
      </c>
      <c r="F8" s="149">
        <v>0.0</v>
      </c>
      <c r="G8" s="150">
        <v>0.0</v>
      </c>
    </row>
    <row r="9">
      <c r="B9" s="143"/>
      <c r="C9" s="143"/>
      <c r="D9" s="147"/>
      <c r="E9" s="148"/>
      <c r="F9" s="149"/>
      <c r="G9" s="152" t="str">
        <f t="shared" ref="G9:G11" si="2">E9*F9</f>
        <v>  -   </v>
      </c>
    </row>
    <row r="10">
      <c r="B10" s="143"/>
      <c r="C10" s="143"/>
      <c r="D10" s="147"/>
      <c r="E10" s="148"/>
      <c r="F10" s="149"/>
      <c r="G10" s="152" t="str">
        <f t="shared" si="2"/>
        <v>  -   </v>
      </c>
    </row>
    <row r="11">
      <c r="B11" s="143"/>
      <c r="C11" s="143"/>
      <c r="D11" s="147"/>
      <c r="E11" s="148"/>
      <c r="F11" s="149"/>
      <c r="G11" s="152" t="str">
        <f t="shared" si="2"/>
        <v>  -   </v>
      </c>
    </row>
    <row r="12">
      <c r="B12" s="153" t="s">
        <v>88</v>
      </c>
      <c r="C12" s="5"/>
      <c r="D12" s="5"/>
      <c r="E12" s="5"/>
      <c r="F12" s="6"/>
      <c r="G12" s="154" t="str">
        <f>SUM(G6:G11)</f>
        <v>  17,569,762 </v>
      </c>
    </row>
    <row r="13"/>
    <row r="14"/>
    <row r="15">
      <c r="B15" s="45" t="s">
        <v>216</v>
      </c>
    </row>
    <row r="16"/>
    <row r="17">
      <c r="A17">
        <v>2.2</v>
      </c>
      <c r="B17" s="25" t="s">
        <v>217</v>
      </c>
    </row>
    <row r="18">
      <c r="B18" s="155"/>
    </row>
    <row r="19">
      <c r="B19" s="142" t="s">
        <v>81</v>
      </c>
      <c r="C19" s="142" t="s">
        <v>10</v>
      </c>
      <c r="D19" s="142" t="s">
        <v>218</v>
      </c>
      <c r="E19" s="142" t="s">
        <v>219</v>
      </c>
      <c r="F19" s="142" t="s">
        <v>220</v>
      </c>
      <c r="G19" s="142" t="s">
        <v>83</v>
      </c>
      <c r="H19" s="142" t="s">
        <v>221</v>
      </c>
    </row>
    <row r="20">
      <c r="B20" s="156"/>
      <c r="C20" s="157"/>
      <c r="D20" s="157"/>
      <c r="E20" s="157"/>
      <c r="F20" s="157"/>
      <c r="G20" s="158"/>
      <c r="H20" s="157"/>
    </row>
    <row r="21">
      <c r="B21" s="159" t="s">
        <v>19</v>
      </c>
      <c r="C21" s="160" t="s">
        <v>222</v>
      </c>
      <c r="D21" s="160"/>
      <c r="E21" s="159"/>
      <c r="F21" s="161"/>
      <c r="G21" s="158" t="str">
        <f t="shared" ref="G21:G31" si="3">E21*F21</f>
        <v>  -   </v>
      </c>
      <c r="H21" s="162"/>
    </row>
    <row r="22">
      <c r="B22" s="159"/>
      <c r="C22" s="160"/>
      <c r="D22" s="160"/>
      <c r="E22" s="159"/>
      <c r="F22" s="161"/>
      <c r="G22" s="158" t="str">
        <f t="shared" si="3"/>
        <v>  -   </v>
      </c>
      <c r="H22" s="162"/>
    </row>
    <row r="23">
      <c r="B23" s="159"/>
      <c r="C23" s="160"/>
      <c r="D23" s="160"/>
      <c r="E23" s="159"/>
      <c r="F23" s="161"/>
      <c r="G23" s="158" t="str">
        <f t="shared" si="3"/>
        <v>  -   </v>
      </c>
      <c r="H23" s="162"/>
    </row>
    <row r="24">
      <c r="B24" s="159"/>
      <c r="C24" s="160"/>
      <c r="D24" s="160"/>
      <c r="E24" s="159"/>
      <c r="F24" s="161"/>
      <c r="G24" s="158" t="str">
        <f t="shared" si="3"/>
        <v>  -   </v>
      </c>
      <c r="H24" s="162"/>
    </row>
    <row r="25">
      <c r="B25" s="159"/>
      <c r="C25" s="160"/>
      <c r="D25" s="160"/>
      <c r="E25" s="159"/>
      <c r="F25" s="161"/>
      <c r="G25" s="158" t="str">
        <f t="shared" si="3"/>
        <v>  -   </v>
      </c>
      <c r="H25" s="162"/>
    </row>
    <row r="26">
      <c r="B26" s="159"/>
      <c r="C26" s="160"/>
      <c r="D26" s="160"/>
      <c r="E26" s="159"/>
      <c r="F26" s="161"/>
      <c r="G26" s="158" t="str">
        <f t="shared" si="3"/>
        <v>  -   </v>
      </c>
      <c r="H26" s="162"/>
    </row>
    <row r="27">
      <c r="B27" s="159"/>
      <c r="C27" s="160"/>
      <c r="D27" s="160"/>
      <c r="E27" s="159"/>
      <c r="F27" s="161"/>
      <c r="G27" s="158" t="str">
        <f t="shared" si="3"/>
        <v>  -   </v>
      </c>
      <c r="H27" s="162"/>
    </row>
    <row r="28">
      <c r="B28" s="159"/>
      <c r="C28" s="160"/>
      <c r="D28" s="160"/>
      <c r="E28" s="159"/>
      <c r="F28" s="161"/>
      <c r="G28" s="158" t="str">
        <f t="shared" si="3"/>
        <v>  -   </v>
      </c>
      <c r="H28" s="162"/>
    </row>
    <row r="29">
      <c r="B29" s="159"/>
      <c r="C29" s="160"/>
      <c r="D29" s="159"/>
      <c r="E29" s="159"/>
      <c r="F29" s="161"/>
      <c r="G29" s="158" t="str">
        <f t="shared" si="3"/>
        <v>  -   </v>
      </c>
      <c r="H29" s="162"/>
    </row>
    <row r="30">
      <c r="B30" s="159"/>
      <c r="C30" s="160"/>
      <c r="D30" s="159"/>
      <c r="E30" s="159"/>
      <c r="F30" s="161"/>
      <c r="G30" s="158" t="str">
        <f t="shared" si="3"/>
        <v>  -   </v>
      </c>
      <c r="H30" s="162"/>
    </row>
    <row r="31">
      <c r="B31" s="159"/>
      <c r="C31" s="160"/>
      <c r="D31" s="159"/>
      <c r="E31" s="159"/>
      <c r="F31" s="161"/>
      <c r="G31" s="158" t="str">
        <f t="shared" si="3"/>
        <v>  -   </v>
      </c>
      <c r="H31" s="162"/>
    </row>
    <row r="32">
      <c r="B32" s="163" t="s">
        <v>223</v>
      </c>
      <c r="C32" s="6"/>
      <c r="D32" s="159"/>
      <c r="E32" s="159"/>
      <c r="F32" s="164"/>
      <c r="G32" s="158" t="str">
        <f t="shared" ref="G32:H32" si="4">SUM(G21:G31)</f>
        <v>  -   </v>
      </c>
      <c r="H32" s="158" t="str">
        <f t="shared" si="4"/>
        <v>  -   </v>
      </c>
    </row>
    <row r="33">
      <c r="B33" s="159" t="s">
        <v>61</v>
      </c>
      <c r="C33" s="160" t="s">
        <v>224</v>
      </c>
      <c r="D33" s="156"/>
      <c r="E33" s="156"/>
      <c r="F33" s="158"/>
      <c r="G33" s="158"/>
      <c r="H33" s="157"/>
    </row>
    <row r="34">
      <c r="B34" s="156"/>
      <c r="C34" s="160" t="s">
        <v>225</v>
      </c>
      <c r="D34" s="165" t="s">
        <v>226</v>
      </c>
      <c r="E34" s="156">
        <v>1.0</v>
      </c>
      <c r="F34" s="158">
        <v>1681500.0</v>
      </c>
      <c r="G34" s="166" t="str">
        <f t="shared" ref="G34:G39" si="5">E34*F34</f>
        <v>  1,681,500 </v>
      </c>
      <c r="H34" s="157">
        <v>15.0</v>
      </c>
    </row>
    <row r="35">
      <c r="B35" s="156"/>
      <c r="C35" s="160" t="s">
        <v>227</v>
      </c>
      <c r="D35" s="156"/>
      <c r="E35" s="156">
        <v>1.0</v>
      </c>
      <c r="F35" s="158">
        <v>944000.0</v>
      </c>
      <c r="G35" s="166" t="str">
        <f t="shared" si="5"/>
        <v>  944,000 </v>
      </c>
      <c r="H35" s="157">
        <v>2.0</v>
      </c>
    </row>
    <row r="36">
      <c r="B36" s="156"/>
      <c r="C36" s="160" t="s">
        <v>228</v>
      </c>
      <c r="D36" s="156"/>
      <c r="E36" s="156">
        <v>1.0</v>
      </c>
      <c r="F36" s="158">
        <v>1062000.0</v>
      </c>
      <c r="G36" s="158" t="str">
        <f t="shared" si="5"/>
        <v>  1,062,000 </v>
      </c>
      <c r="H36" s="157">
        <v>5.0</v>
      </c>
    </row>
    <row r="37">
      <c r="B37" s="156"/>
      <c r="C37" s="160" t="s">
        <v>229</v>
      </c>
      <c r="D37" s="156"/>
      <c r="E37" s="156">
        <v>1.0</v>
      </c>
      <c r="F37" s="158">
        <v>398213.0</v>
      </c>
      <c r="G37" s="158" t="str">
        <f t="shared" si="5"/>
        <v>  398,213 </v>
      </c>
      <c r="H37" s="157"/>
    </row>
    <row r="38">
      <c r="B38" s="156"/>
      <c r="C38" s="165"/>
      <c r="D38" s="156"/>
      <c r="E38" s="156"/>
      <c r="F38" s="158"/>
      <c r="G38" s="158" t="str">
        <f t="shared" si="5"/>
        <v>  -   </v>
      </c>
      <c r="H38" s="157"/>
    </row>
    <row r="39">
      <c r="B39" s="156"/>
      <c r="C39" s="165"/>
      <c r="D39" s="156"/>
      <c r="E39" s="156"/>
      <c r="F39" s="158"/>
      <c r="G39" s="158" t="str">
        <f t="shared" si="5"/>
        <v>  -   </v>
      </c>
      <c r="H39" s="157"/>
    </row>
    <row r="40">
      <c r="B40" s="156"/>
      <c r="C40" s="165"/>
      <c r="D40" s="156"/>
      <c r="E40" s="156"/>
      <c r="F40" s="158"/>
      <c r="G40" s="158" t="str">
        <f t="shared" ref="G40:G46" si="6">F40</f>
        <v/>
      </c>
      <c r="H40" s="157"/>
      <c r="M40" s="37" t="str">
        <f>+F35+F53</f>
        <v>  1,050,200 </v>
      </c>
    </row>
    <row r="41">
      <c r="B41" s="156"/>
      <c r="C41" s="165"/>
      <c r="D41" s="156"/>
      <c r="E41" s="156"/>
      <c r="F41" s="158"/>
      <c r="G41" s="158" t="str">
        <f t="shared" si="6"/>
        <v/>
      </c>
      <c r="H41" s="157"/>
    </row>
    <row r="42">
      <c r="B42" s="156"/>
      <c r="C42" s="165"/>
      <c r="D42" s="156"/>
      <c r="E42" s="156"/>
      <c r="F42" s="158"/>
      <c r="G42" s="158" t="str">
        <f t="shared" si="6"/>
        <v/>
      </c>
      <c r="H42" s="157"/>
    </row>
    <row r="43">
      <c r="B43" s="156"/>
      <c r="C43" s="165"/>
      <c r="D43" s="156"/>
      <c r="E43" s="156"/>
      <c r="F43" s="158"/>
      <c r="G43" s="158" t="str">
        <f t="shared" si="6"/>
        <v/>
      </c>
      <c r="H43" s="157"/>
    </row>
    <row r="44">
      <c r="B44" s="156"/>
      <c r="C44" s="165"/>
      <c r="D44" s="156"/>
      <c r="E44" s="156"/>
      <c r="F44" s="158"/>
      <c r="G44" s="158" t="str">
        <f t="shared" si="6"/>
        <v/>
      </c>
      <c r="H44" s="157"/>
    </row>
    <row r="45">
      <c r="B45" s="156"/>
      <c r="C45" s="165"/>
      <c r="D45" s="156"/>
      <c r="E45" s="156"/>
      <c r="F45" s="158"/>
      <c r="G45" s="158" t="str">
        <f t="shared" si="6"/>
        <v/>
      </c>
      <c r="H45" s="157"/>
    </row>
    <row r="46">
      <c r="B46" s="156"/>
      <c r="C46" s="165"/>
      <c r="D46" s="156"/>
      <c r="E46" s="156"/>
      <c r="F46" s="158"/>
      <c r="G46" s="158" t="str">
        <f t="shared" si="6"/>
        <v/>
      </c>
      <c r="H46" s="157"/>
    </row>
    <row r="47">
      <c r="B47" s="163" t="s">
        <v>223</v>
      </c>
      <c r="C47" s="6"/>
      <c r="D47" s="159"/>
      <c r="E47" s="159"/>
      <c r="F47" s="164"/>
      <c r="G47" s="164" t="str">
        <f t="shared" ref="G47:H47" si="7">SUM(G34:G46)</f>
        <v>  4,085,713 </v>
      </c>
      <c r="H47" s="164" t="str">
        <f t="shared" si="7"/>
        <v>  22 </v>
      </c>
    </row>
    <row r="48">
      <c r="B48" s="156"/>
      <c r="C48" s="165"/>
      <c r="D48" s="156"/>
      <c r="E48" s="156"/>
      <c r="F48" s="158"/>
      <c r="G48" s="158"/>
      <c r="H48" s="157"/>
    </row>
    <row r="49">
      <c r="B49" s="159" t="s">
        <v>230</v>
      </c>
      <c r="C49" s="160" t="s">
        <v>231</v>
      </c>
      <c r="D49" s="156"/>
      <c r="E49" s="156"/>
      <c r="F49" s="158"/>
      <c r="G49" s="158" t="str">
        <f t="shared" ref="G49:G55" si="8">E49*F49</f>
        <v>  -   </v>
      </c>
      <c r="H49" s="157"/>
    </row>
    <row r="50">
      <c r="B50" s="159"/>
      <c r="C50" s="160" t="s">
        <v>232</v>
      </c>
      <c r="D50" s="167" t="s">
        <v>233</v>
      </c>
      <c r="E50" s="156">
        <v>1.0</v>
      </c>
      <c r="F50" s="158">
        <v>1976205.0</v>
      </c>
      <c r="G50" s="166" t="str">
        <f t="shared" si="8"/>
        <v>  1,976,205 </v>
      </c>
      <c r="H50" s="157">
        <v>13.5</v>
      </c>
    </row>
    <row r="51">
      <c r="B51" s="159"/>
      <c r="C51" s="160" t="s">
        <v>234</v>
      </c>
      <c r="D51" s="165" t="s">
        <v>235</v>
      </c>
      <c r="E51" s="156">
        <v>1.0</v>
      </c>
      <c r="F51" s="158">
        <v>814200.0</v>
      </c>
      <c r="G51" s="166" t="str">
        <f t="shared" si="8"/>
        <v>  814,200 </v>
      </c>
      <c r="H51" s="157">
        <v>7.5</v>
      </c>
    </row>
    <row r="52">
      <c r="B52" s="159"/>
      <c r="C52" s="160" t="s">
        <v>236</v>
      </c>
      <c r="D52" s="165" t="s">
        <v>237</v>
      </c>
      <c r="E52" s="156">
        <v>1.0</v>
      </c>
      <c r="F52" s="158">
        <v>750000.0</v>
      </c>
      <c r="G52" s="166" t="str">
        <f t="shared" si="8"/>
        <v>  750,000 </v>
      </c>
      <c r="H52" s="157"/>
    </row>
    <row r="53">
      <c r="B53" s="159"/>
      <c r="C53" s="160" t="s">
        <v>238</v>
      </c>
      <c r="D53" s="165"/>
      <c r="E53" s="156">
        <v>1.0</v>
      </c>
      <c r="F53" s="158">
        <v>106200.0</v>
      </c>
      <c r="G53" s="166" t="str">
        <f t="shared" si="8"/>
        <v>  106,200 </v>
      </c>
      <c r="H53" s="157"/>
    </row>
    <row r="54">
      <c r="B54" s="159"/>
      <c r="C54" s="160"/>
      <c r="D54" s="165"/>
      <c r="E54" s="156"/>
      <c r="F54" s="158"/>
      <c r="G54" s="158" t="str">
        <f t="shared" si="8"/>
        <v>  -   </v>
      </c>
      <c r="H54" s="157"/>
    </row>
    <row r="55">
      <c r="B55" s="159"/>
      <c r="C55" s="160"/>
      <c r="D55" s="165"/>
      <c r="E55" s="156"/>
      <c r="F55" s="158"/>
      <c r="G55" s="158" t="str">
        <f t="shared" si="8"/>
        <v>  -   </v>
      </c>
      <c r="H55" s="157"/>
    </row>
    <row r="56">
      <c r="B56" s="159"/>
      <c r="C56" s="160"/>
      <c r="D56" s="165"/>
      <c r="E56" s="156"/>
      <c r="F56" s="158"/>
      <c r="G56" s="158"/>
      <c r="H56" s="157"/>
    </row>
    <row r="57">
      <c r="B57" s="159"/>
      <c r="C57" s="160"/>
      <c r="D57" s="165"/>
      <c r="E57" s="156"/>
      <c r="F57" s="158"/>
      <c r="G57" s="158" t="str">
        <f>E57*F57</f>
        <v>  -   </v>
      </c>
      <c r="H57" s="157"/>
    </row>
    <row r="58">
      <c r="B58" s="163" t="s">
        <v>223</v>
      </c>
      <c r="C58" s="6"/>
      <c r="D58" s="165"/>
      <c r="E58" s="156"/>
      <c r="F58" s="158"/>
      <c r="G58" s="164" t="str">
        <f t="shared" ref="G58:H58" si="9">SUM(G49:G57)</f>
        <v>  3,646,605 </v>
      </c>
      <c r="H58" s="164" t="str">
        <f t="shared" si="9"/>
        <v>  21 </v>
      </c>
    </row>
    <row r="59">
      <c r="B59" s="159"/>
      <c r="C59" s="159"/>
      <c r="D59" s="165"/>
      <c r="E59" s="156"/>
      <c r="F59" s="158"/>
      <c r="G59" s="164"/>
      <c r="H59" s="164"/>
    </row>
    <row r="60">
      <c r="B60" s="159" t="s">
        <v>239</v>
      </c>
      <c r="C60" s="159" t="s">
        <v>240</v>
      </c>
      <c r="D60" s="165"/>
      <c r="E60" s="156"/>
      <c r="F60" s="158"/>
      <c r="G60" s="158" t="str">
        <f t="shared" ref="G60:G63" si="10">E60*F60</f>
        <v>  -   </v>
      </c>
      <c r="H60" s="158"/>
    </row>
    <row r="61">
      <c r="B61" s="159"/>
      <c r="C61" s="159"/>
      <c r="D61" s="165"/>
      <c r="E61" s="156"/>
      <c r="F61" s="158"/>
      <c r="G61" s="158" t="str">
        <f t="shared" si="10"/>
        <v>  -   </v>
      </c>
      <c r="H61" s="158"/>
    </row>
    <row r="62">
      <c r="B62" s="159"/>
      <c r="C62" s="159"/>
      <c r="D62" s="165"/>
      <c r="E62" s="156"/>
      <c r="F62" s="158"/>
      <c r="G62" s="158" t="str">
        <f t="shared" si="10"/>
        <v>  -   </v>
      </c>
      <c r="H62" s="158"/>
    </row>
    <row r="63">
      <c r="B63" s="159"/>
      <c r="C63" s="160"/>
      <c r="D63" s="165"/>
      <c r="E63" s="156"/>
      <c r="F63" s="158"/>
      <c r="G63" s="158" t="str">
        <f t="shared" si="10"/>
        <v>  -   </v>
      </c>
      <c r="H63" s="157"/>
    </row>
    <row r="64">
      <c r="B64" s="163" t="s">
        <v>223</v>
      </c>
      <c r="C64" s="6"/>
      <c r="D64" s="165"/>
      <c r="E64" s="156"/>
      <c r="F64" s="158"/>
      <c r="G64" s="158" t="str">
        <f t="shared" ref="G64:H64" si="11">SUM(G60:G63)</f>
        <v>  -   </v>
      </c>
      <c r="H64" s="158" t="str">
        <f t="shared" si="11"/>
        <v>  -   </v>
      </c>
    </row>
    <row r="65">
      <c r="B65" s="156"/>
      <c r="C65" s="165"/>
      <c r="D65" s="165"/>
      <c r="E65" s="156"/>
      <c r="F65" s="158"/>
      <c r="G65" s="158"/>
      <c r="H65" s="157"/>
    </row>
    <row r="66">
      <c r="B66" s="168" t="s">
        <v>88</v>
      </c>
      <c r="C66" s="5"/>
      <c r="D66" s="5"/>
      <c r="E66" s="5"/>
      <c r="F66" s="6"/>
      <c r="G66" s="169" t="str">
        <f>G58+G47+G32+G64</f>
        <v>  7,732,318 </v>
      </c>
      <c r="H66" s="169" t="str">
        <f>H47+H21+H58+H64</f>
        <v>  43 </v>
      </c>
    </row>
    <row r="67">
      <c r="B67" s="155"/>
      <c r="G67" s="170"/>
    </row>
    <row r="68">
      <c r="B68" s="45" t="s">
        <v>241</v>
      </c>
    </row>
    <row r="69">
      <c r="B69" s="155"/>
      <c r="G69" s="170"/>
      <c r="I69" s="155"/>
      <c r="J69" s="155"/>
      <c r="K69" s="170"/>
    </row>
    <row r="72">
      <c r="A72">
        <v>2.3</v>
      </c>
      <c r="B72" s="25" t="s">
        <v>242</v>
      </c>
    </row>
    <row r="74">
      <c r="B74" s="171" t="s">
        <v>81</v>
      </c>
      <c r="C74" s="172" t="s">
        <v>82</v>
      </c>
      <c r="D74" s="172" t="s">
        <v>219</v>
      </c>
      <c r="E74" s="172" t="s">
        <v>220</v>
      </c>
      <c r="F74" s="172" t="s">
        <v>83</v>
      </c>
    </row>
    <row r="75">
      <c r="B75" s="173">
        <v>1.0</v>
      </c>
      <c r="C75" s="174" t="s">
        <v>243</v>
      </c>
      <c r="D75" s="173">
        <v>1.0</v>
      </c>
      <c r="E75" s="175">
        <v>209000.0</v>
      </c>
      <c r="F75" s="176" t="str">
        <f t="shared" ref="F75:F80" si="12">D75*E75</f>
        <v>  209,000 </v>
      </c>
    </row>
    <row r="76">
      <c r="B76" s="173"/>
      <c r="C76" s="174"/>
      <c r="D76" s="173"/>
      <c r="E76" s="175"/>
      <c r="F76" s="177" t="str">
        <f t="shared" si="12"/>
        <v>  -   </v>
      </c>
    </row>
    <row r="77">
      <c r="B77" s="173"/>
      <c r="C77" s="174"/>
      <c r="D77" s="173"/>
      <c r="E77" s="175"/>
      <c r="F77" s="177" t="str">
        <f t="shared" si="12"/>
        <v>  -   </v>
      </c>
    </row>
    <row r="78">
      <c r="B78" s="173"/>
      <c r="C78" s="174"/>
      <c r="D78" s="173"/>
      <c r="E78" s="175"/>
      <c r="F78" s="177" t="str">
        <f t="shared" si="12"/>
        <v>  -   </v>
      </c>
    </row>
    <row r="79">
      <c r="B79" s="173"/>
      <c r="C79" s="174"/>
      <c r="D79" s="173"/>
      <c r="E79" s="175"/>
      <c r="F79" s="177" t="str">
        <f t="shared" si="12"/>
        <v>  -   </v>
      </c>
    </row>
    <row r="80">
      <c r="B80" s="173"/>
      <c r="C80" s="174"/>
      <c r="D80" s="173"/>
      <c r="E80" s="175"/>
      <c r="F80" s="177" t="str">
        <f t="shared" si="12"/>
        <v>  -   </v>
      </c>
    </row>
    <row r="81">
      <c r="B81" s="178" t="s">
        <v>88</v>
      </c>
      <c r="C81" s="5"/>
      <c r="D81" s="5"/>
      <c r="E81" s="6"/>
      <c r="F81" s="179" t="str">
        <f>SUM(F75:F80)</f>
        <v>  209,000 </v>
      </c>
    </row>
    <row r="83">
      <c r="A83" s="45" t="s">
        <v>244</v>
      </c>
    </row>
    <row r="86">
      <c r="A86">
        <v>2.4</v>
      </c>
      <c r="B86" s="25" t="s">
        <v>245</v>
      </c>
      <c r="K86" t="str">
        <f>209000+180500</f>
        <v>389500</v>
      </c>
    </row>
    <row r="88">
      <c r="B88" s="171" t="s">
        <v>81</v>
      </c>
      <c r="C88" s="172" t="s">
        <v>82</v>
      </c>
      <c r="D88" s="172" t="s">
        <v>219</v>
      </c>
      <c r="E88" s="172" t="s">
        <v>220</v>
      </c>
      <c r="F88" s="172" t="s">
        <v>83</v>
      </c>
    </row>
    <row r="89">
      <c r="B89" s="173">
        <v>1.0</v>
      </c>
      <c r="C89" s="174" t="s">
        <v>246</v>
      </c>
      <c r="D89" s="173">
        <v>1.0</v>
      </c>
      <c r="E89" s="175">
        <v>180500.0</v>
      </c>
      <c r="F89" s="176" t="str">
        <f t="shared" ref="F89:F94" si="13">D89*E89</f>
        <v>  180,500 </v>
      </c>
    </row>
    <row r="90">
      <c r="B90" s="173"/>
      <c r="C90" s="174"/>
      <c r="D90" s="173"/>
      <c r="E90" s="175"/>
      <c r="F90" s="177" t="str">
        <f t="shared" si="13"/>
        <v>  -   </v>
      </c>
    </row>
    <row r="91">
      <c r="B91" s="173"/>
      <c r="C91" s="174"/>
      <c r="D91" s="173"/>
      <c r="E91" s="175"/>
      <c r="F91" s="177" t="str">
        <f t="shared" si="13"/>
        <v>  -   </v>
      </c>
    </row>
    <row r="92">
      <c r="B92" s="173"/>
      <c r="C92" s="174"/>
      <c r="D92" s="173"/>
      <c r="E92" s="175"/>
      <c r="F92" s="177" t="str">
        <f t="shared" si="13"/>
        <v>  -   </v>
      </c>
    </row>
    <row r="93">
      <c r="B93" s="173"/>
      <c r="C93" s="174"/>
      <c r="D93" s="173"/>
      <c r="E93" s="175"/>
      <c r="F93" s="177" t="str">
        <f t="shared" si="13"/>
        <v>  -   </v>
      </c>
    </row>
    <row r="94">
      <c r="B94" s="173"/>
      <c r="C94" s="174"/>
      <c r="D94" s="173"/>
      <c r="E94" s="175"/>
      <c r="F94" s="177" t="str">
        <f t="shared" si="13"/>
        <v>  -   </v>
      </c>
    </row>
    <row r="95">
      <c r="B95" s="178" t="s">
        <v>88</v>
      </c>
      <c r="C95" s="5"/>
      <c r="D95" s="5"/>
      <c r="E95" s="6"/>
      <c r="F95" s="179" t="str">
        <f>SUM(F89:F94)</f>
        <v>  180,500 </v>
      </c>
    </row>
    <row r="97">
      <c r="A97" s="45" t="s">
        <v>244</v>
      </c>
    </row>
    <row r="100">
      <c r="A100">
        <v>2.5</v>
      </c>
      <c r="B100" s="25" t="s">
        <v>247</v>
      </c>
    </row>
    <row r="102">
      <c r="B102" s="180" t="s">
        <v>81</v>
      </c>
      <c r="C102" s="142" t="s">
        <v>82</v>
      </c>
      <c r="D102" s="142" t="s">
        <v>219</v>
      </c>
      <c r="E102" s="142" t="s">
        <v>220</v>
      </c>
      <c r="F102" s="142" t="s">
        <v>83</v>
      </c>
    </row>
    <row r="103">
      <c r="B103" s="156">
        <v>1.0</v>
      </c>
      <c r="C103" s="165"/>
      <c r="D103" s="156"/>
      <c r="E103" s="181"/>
      <c r="F103" s="158" t="str">
        <f t="shared" ref="F103:F105" si="14">E103*D103</f>
        <v>  -   </v>
      </c>
    </row>
    <row r="104">
      <c r="B104" s="156">
        <v>2.0</v>
      </c>
      <c r="C104" s="165"/>
      <c r="D104" s="156"/>
      <c r="E104" s="181"/>
      <c r="F104" s="158" t="str">
        <f t="shared" si="14"/>
        <v>  -   </v>
      </c>
    </row>
    <row r="105">
      <c r="B105" s="156">
        <v>3.0</v>
      </c>
      <c r="C105" s="165"/>
      <c r="D105" s="156"/>
      <c r="E105" s="181"/>
      <c r="F105" s="158" t="str">
        <f t="shared" si="14"/>
        <v>  -   </v>
      </c>
    </row>
    <row r="106">
      <c r="B106" s="168" t="s">
        <v>88</v>
      </c>
      <c r="C106" s="5"/>
      <c r="D106" s="5"/>
      <c r="E106" s="6"/>
      <c r="F106" s="169" t="str">
        <f>SUM(F103:F105)</f>
        <v>  -   </v>
      </c>
    </row>
    <row r="107">
      <c r="A107" s="182" t="s">
        <v>248</v>
      </c>
      <c r="B107" s="183"/>
      <c r="C107" s="183"/>
      <c r="D107" s="183"/>
      <c r="E107" s="183"/>
      <c r="F107" s="183"/>
      <c r="G107" s="184"/>
    </row>
    <row r="110">
      <c r="A110">
        <v>2.6</v>
      </c>
      <c r="B110" s="25" t="s">
        <v>249</v>
      </c>
    </row>
    <row r="112">
      <c r="B112" s="185" t="s">
        <v>81</v>
      </c>
      <c r="C112" s="186" t="s">
        <v>82</v>
      </c>
      <c r="D112" s="186" t="s">
        <v>250</v>
      </c>
    </row>
    <row r="113">
      <c r="B113" s="187">
        <v>1.0</v>
      </c>
      <c r="C113" s="188" t="s">
        <v>251</v>
      </c>
      <c r="D113" s="189">
        <v>20000.0</v>
      </c>
    </row>
    <row r="114">
      <c r="B114" s="187">
        <v>2.0</v>
      </c>
      <c r="C114" s="188" t="s">
        <v>252</v>
      </c>
      <c r="D114" s="189">
        <v>22500.0</v>
      </c>
    </row>
    <row r="115">
      <c r="B115" s="187">
        <v>3.0</v>
      </c>
      <c r="C115" s="188" t="s">
        <v>253</v>
      </c>
      <c r="D115" s="189">
        <v>22000.0</v>
      </c>
    </row>
    <row r="116">
      <c r="B116" s="187">
        <v>4.0</v>
      </c>
      <c r="C116" s="190" t="s">
        <v>254</v>
      </c>
      <c r="D116" s="191" t="str">
        <f>600000+398213+100000</f>
        <v>  1,098,213 </v>
      </c>
    </row>
    <row r="117">
      <c r="B117" s="192" t="s">
        <v>88</v>
      </c>
      <c r="C117" s="193"/>
      <c r="D117" s="194" t="str">
        <f>SUM(D113:D116)</f>
        <v>  1,162,713 </v>
      </c>
    </row>
    <row r="119" ht="25.5" customHeight="1">
      <c r="A119" s="105" t="s">
        <v>255</v>
      </c>
    </row>
  </sheetData>
  <mergeCells count="22">
    <mergeCell ref="B12:F12"/>
    <mergeCell ref="B2:G2"/>
    <mergeCell ref="B15:G15"/>
    <mergeCell ref="B68:H68"/>
    <mergeCell ref="B66:F66"/>
    <mergeCell ref="B17:H17"/>
    <mergeCell ref="B32:C32"/>
    <mergeCell ref="B106:E106"/>
    <mergeCell ref="A107:G107"/>
    <mergeCell ref="B64:C64"/>
    <mergeCell ref="B81:E81"/>
    <mergeCell ref="B72:F72"/>
    <mergeCell ref="A83:G83"/>
    <mergeCell ref="B95:E95"/>
    <mergeCell ref="B86:F86"/>
    <mergeCell ref="B47:C47"/>
    <mergeCell ref="B58:C58"/>
    <mergeCell ref="B117:C117"/>
    <mergeCell ref="A119:E119"/>
    <mergeCell ref="A97:G97"/>
    <mergeCell ref="B100:F100"/>
    <mergeCell ref="B110:D110"/>
  </mergeCells>
  <printOptions/>
  <pageMargins bottom="0.75" footer="0.0" header="0.0" left="0.25" right="0.25" top="0.75"/>
  <pageSetup scale="75"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4.57"/>
    <col customWidth="1" min="3" max="3" width="13.29"/>
    <col customWidth="1" min="4" max="4" width="13.43"/>
    <col customWidth="1" min="5" max="5" width="14.86"/>
    <col customWidth="1" min="6" max="7" width="14.71"/>
    <col customWidth="1" min="8" max="9" width="14.86"/>
    <col customWidth="1" min="10" max="10" width="14.71"/>
    <col customWidth="1" min="11" max="11" width="14.86"/>
    <col customWidth="1" min="12" max="12" width="12.71"/>
    <col customWidth="1" min="13" max="17" width="13.43"/>
  </cols>
  <sheetData>
    <row r="1"/>
    <row r="2">
      <c r="A2" s="25" t="s">
        <v>256</v>
      </c>
    </row>
    <row r="3"/>
    <row r="4">
      <c r="A4" s="93"/>
      <c r="B4" s="93"/>
      <c r="C4" s="93"/>
      <c r="D4" s="93"/>
      <c r="E4" s="195">
        <v>1.0</v>
      </c>
      <c r="F4" s="196" t="str">
        <f t="shared" ref="F4:K4" si="1">(E4*5%)+E4</f>
        <v>105.00%</v>
      </c>
      <c r="G4" s="196" t="str">
        <f t="shared" si="1"/>
        <v>110.25%</v>
      </c>
      <c r="H4" s="196" t="str">
        <f t="shared" si="1"/>
        <v>115.76%</v>
      </c>
      <c r="I4" s="196" t="str">
        <f t="shared" si="1"/>
        <v>121.55%</v>
      </c>
      <c r="J4" s="196" t="str">
        <f t="shared" si="1"/>
        <v>127.63%</v>
      </c>
      <c r="K4" s="196" t="str">
        <f t="shared" si="1"/>
        <v>134.01%</v>
      </c>
    </row>
    <row r="5">
      <c r="A5" s="93"/>
      <c r="B5" s="93"/>
      <c r="C5" s="93"/>
      <c r="D5" s="93"/>
      <c r="E5" s="93"/>
      <c r="F5" s="93"/>
      <c r="G5" s="93"/>
      <c r="H5" s="93"/>
      <c r="I5" s="93"/>
      <c r="J5" s="93"/>
      <c r="K5" s="93"/>
      <c r="O5" s="138"/>
    </row>
    <row r="6">
      <c r="A6" s="197" t="s">
        <v>156</v>
      </c>
      <c r="B6" s="197" t="s">
        <v>206</v>
      </c>
      <c r="C6" s="197" t="s">
        <v>257</v>
      </c>
      <c r="D6" s="197" t="s">
        <v>258</v>
      </c>
      <c r="E6" s="198" t="s">
        <v>137</v>
      </c>
      <c r="F6" s="198" t="s">
        <v>138</v>
      </c>
      <c r="G6" s="198" t="s">
        <v>139</v>
      </c>
      <c r="H6" s="198" t="s">
        <v>140</v>
      </c>
      <c r="I6" s="198" t="s">
        <v>141</v>
      </c>
      <c r="J6" s="198" t="s">
        <v>142</v>
      </c>
      <c r="K6" s="198" t="s">
        <v>143</v>
      </c>
    </row>
    <row r="7">
      <c r="A7" s="87"/>
      <c r="B7" s="87"/>
      <c r="C7" s="87"/>
      <c r="D7" s="87"/>
      <c r="E7" s="87"/>
      <c r="F7" s="87"/>
      <c r="G7" s="87"/>
      <c r="H7" s="87"/>
      <c r="I7" s="87"/>
      <c r="J7" s="87"/>
      <c r="K7" s="87"/>
    </row>
    <row r="8">
      <c r="A8" s="87" t="s">
        <v>259</v>
      </c>
      <c r="B8" s="87" t="s">
        <v>260</v>
      </c>
      <c r="C8" s="87">
        <v>1.0</v>
      </c>
      <c r="D8" s="88">
        <v>25000.0</v>
      </c>
      <c r="E8" s="88" t="str">
        <f t="shared" ref="E8:K8" si="2">$C8*$D8*12*E$4</f>
        <v>  300,000 </v>
      </c>
      <c r="F8" s="88" t="str">
        <f t="shared" si="2"/>
        <v>  315,000 </v>
      </c>
      <c r="G8" s="88" t="str">
        <f t="shared" si="2"/>
        <v>  330,750 </v>
      </c>
      <c r="H8" s="88" t="str">
        <f t="shared" si="2"/>
        <v>  347,288 </v>
      </c>
      <c r="I8" s="88" t="str">
        <f t="shared" si="2"/>
        <v>  364,652 </v>
      </c>
      <c r="J8" s="88" t="str">
        <f t="shared" si="2"/>
        <v>  382,884 </v>
      </c>
      <c r="K8" s="88" t="str">
        <f t="shared" si="2"/>
        <v>  402,029 </v>
      </c>
    </row>
    <row r="9">
      <c r="A9" s="87" t="s">
        <v>261</v>
      </c>
      <c r="B9" s="87" t="s">
        <v>260</v>
      </c>
      <c r="C9" s="87">
        <v>1.0</v>
      </c>
      <c r="D9" s="88">
        <v>20000.0</v>
      </c>
      <c r="E9" s="88" t="str">
        <f t="shared" ref="E9:K9" si="3">$C9*$D9*12*E$4</f>
        <v>  240,000 </v>
      </c>
      <c r="F9" s="88" t="str">
        <f t="shared" si="3"/>
        <v>  252,000 </v>
      </c>
      <c r="G9" s="88" t="str">
        <f t="shared" si="3"/>
        <v>  264,600 </v>
      </c>
      <c r="H9" s="88" t="str">
        <f t="shared" si="3"/>
        <v>  277,830 </v>
      </c>
      <c r="I9" s="88" t="str">
        <f t="shared" si="3"/>
        <v>  291,722 </v>
      </c>
      <c r="J9" s="88" t="str">
        <f t="shared" si="3"/>
        <v>  306,308 </v>
      </c>
      <c r="K9" s="88" t="str">
        <f t="shared" si="3"/>
        <v>  321,623 </v>
      </c>
    </row>
    <row r="10">
      <c r="A10" s="87" t="s">
        <v>262</v>
      </c>
      <c r="B10" s="87" t="s">
        <v>260</v>
      </c>
      <c r="C10" s="87">
        <v>2.0</v>
      </c>
      <c r="D10" s="88">
        <v>10000.0</v>
      </c>
      <c r="E10" s="88" t="str">
        <f t="shared" ref="E10:K10" si="4">$C10*$D10*12*E$4</f>
        <v>  240,000 </v>
      </c>
      <c r="F10" s="88" t="str">
        <f t="shared" si="4"/>
        <v>  252,000 </v>
      </c>
      <c r="G10" s="88" t="str">
        <f t="shared" si="4"/>
        <v>  264,600 </v>
      </c>
      <c r="H10" s="88" t="str">
        <f t="shared" si="4"/>
        <v>  277,830 </v>
      </c>
      <c r="I10" s="88" t="str">
        <f t="shared" si="4"/>
        <v>  291,722 </v>
      </c>
      <c r="J10" s="88" t="str">
        <f t="shared" si="4"/>
        <v>  306,308 </v>
      </c>
      <c r="K10" s="88" t="str">
        <f t="shared" si="4"/>
        <v>  321,623 </v>
      </c>
    </row>
    <row r="11">
      <c r="A11" s="87" t="s">
        <v>263</v>
      </c>
      <c r="B11" s="87" t="s">
        <v>264</v>
      </c>
      <c r="C11" s="87">
        <v>12.0</v>
      </c>
      <c r="D11" s="88">
        <v>5000.0</v>
      </c>
      <c r="E11" s="88" t="str">
        <f t="shared" ref="E11:K11" si="5">$C11*$D11*E$4</f>
        <v>  60,000 </v>
      </c>
      <c r="F11" s="88" t="str">
        <f t="shared" si="5"/>
        <v>  63,000 </v>
      </c>
      <c r="G11" s="88" t="str">
        <f t="shared" si="5"/>
        <v>  66,150 </v>
      </c>
      <c r="H11" s="88" t="str">
        <f t="shared" si="5"/>
        <v>  69,458 </v>
      </c>
      <c r="I11" s="88" t="str">
        <f t="shared" si="5"/>
        <v>  72,930 </v>
      </c>
      <c r="J11" s="88" t="str">
        <f t="shared" si="5"/>
        <v>  76,577 </v>
      </c>
      <c r="K11" s="88" t="str">
        <f t="shared" si="5"/>
        <v>  80,406 </v>
      </c>
    </row>
    <row r="12">
      <c r="A12" s="87" t="s">
        <v>265</v>
      </c>
      <c r="B12" s="87" t="s">
        <v>264</v>
      </c>
      <c r="C12" s="87">
        <v>12.0</v>
      </c>
      <c r="D12" s="88">
        <v>2000.0</v>
      </c>
      <c r="E12" s="88" t="str">
        <f t="shared" ref="E12:K12" si="6">$C12*$D12*E$4</f>
        <v>  24,000 </v>
      </c>
      <c r="F12" s="88" t="str">
        <f t="shared" si="6"/>
        <v>  25,200 </v>
      </c>
      <c r="G12" s="88" t="str">
        <f t="shared" si="6"/>
        <v>  26,460 </v>
      </c>
      <c r="H12" s="88" t="str">
        <f t="shared" si="6"/>
        <v>  27,783 </v>
      </c>
      <c r="I12" s="88" t="str">
        <f t="shared" si="6"/>
        <v>  29,172 </v>
      </c>
      <c r="J12" s="88" t="str">
        <f t="shared" si="6"/>
        <v>  30,631 </v>
      </c>
      <c r="K12" s="88" t="str">
        <f t="shared" si="6"/>
        <v>  32,162 </v>
      </c>
    </row>
    <row r="13">
      <c r="A13" s="87" t="s">
        <v>266</v>
      </c>
      <c r="B13" s="87" t="s">
        <v>264</v>
      </c>
      <c r="C13" s="87">
        <v>12.0</v>
      </c>
      <c r="D13" s="88">
        <v>4000.0</v>
      </c>
      <c r="E13" s="88" t="str">
        <f t="shared" ref="E13:K13" si="7">$C13*$D13*E$4</f>
        <v>  48,000 </v>
      </c>
      <c r="F13" s="88" t="str">
        <f t="shared" si="7"/>
        <v>  50,400 </v>
      </c>
      <c r="G13" s="88" t="str">
        <f t="shared" si="7"/>
        <v>  52,920 </v>
      </c>
      <c r="H13" s="88" t="str">
        <f t="shared" si="7"/>
        <v>  55,566 </v>
      </c>
      <c r="I13" s="88" t="str">
        <f t="shared" si="7"/>
        <v>  58,344 </v>
      </c>
      <c r="J13" s="88" t="str">
        <f t="shared" si="7"/>
        <v>  61,262 </v>
      </c>
      <c r="K13" s="88" t="str">
        <f t="shared" si="7"/>
        <v>  64,325 </v>
      </c>
    </row>
    <row r="14">
      <c r="A14" s="87" t="s">
        <v>267</v>
      </c>
      <c r="B14" s="87" t="s">
        <v>264</v>
      </c>
      <c r="C14" s="87">
        <v>12.0</v>
      </c>
      <c r="D14" s="88">
        <v>1000.0</v>
      </c>
      <c r="E14" s="88" t="str">
        <f t="shared" ref="E14:K14" si="8">$C14*$D14*E$4</f>
        <v>  12,000 </v>
      </c>
      <c r="F14" s="88" t="str">
        <f t="shared" si="8"/>
        <v>  12,600 </v>
      </c>
      <c r="G14" s="88" t="str">
        <f t="shared" si="8"/>
        <v>  13,230 </v>
      </c>
      <c r="H14" s="88" t="str">
        <f t="shared" si="8"/>
        <v>  13,892 </v>
      </c>
      <c r="I14" s="88" t="str">
        <f t="shared" si="8"/>
        <v>  14,586 </v>
      </c>
      <c r="J14" s="88" t="str">
        <f t="shared" si="8"/>
        <v>  15,315 </v>
      </c>
      <c r="K14" s="88" t="str">
        <f t="shared" si="8"/>
        <v>  16,081 </v>
      </c>
    </row>
    <row r="15">
      <c r="A15" s="87" t="s">
        <v>268</v>
      </c>
      <c r="B15" s="87" t="s">
        <v>264</v>
      </c>
      <c r="C15" s="87">
        <v>12.0</v>
      </c>
      <c r="D15" s="88">
        <v>12000.0</v>
      </c>
      <c r="E15" s="88" t="str">
        <f t="shared" ref="E15:K15" si="9">$C15*$D15*E$4</f>
        <v>  144,000 </v>
      </c>
      <c r="F15" s="88" t="str">
        <f t="shared" si="9"/>
        <v>  151,200 </v>
      </c>
      <c r="G15" s="88" t="str">
        <f t="shared" si="9"/>
        <v>  158,760 </v>
      </c>
      <c r="H15" s="88" t="str">
        <f t="shared" si="9"/>
        <v>  166,698 </v>
      </c>
      <c r="I15" s="88" t="str">
        <f t="shared" si="9"/>
        <v>  175,033 </v>
      </c>
      <c r="J15" s="88" t="str">
        <f t="shared" si="9"/>
        <v>  183,785 </v>
      </c>
      <c r="K15" s="88" t="str">
        <f t="shared" si="9"/>
        <v>  192,974 </v>
      </c>
    </row>
    <row r="16">
      <c r="A16" s="87" t="s">
        <v>269</v>
      </c>
      <c r="B16" s="87" t="s">
        <v>270</v>
      </c>
      <c r="C16" s="87">
        <v>1.0</v>
      </c>
      <c r="D16" s="88">
        <v>120000.0</v>
      </c>
      <c r="E16" s="88" t="str">
        <f t="shared" ref="E16:E22" si="11">$D16*E$4*$C16</f>
        <v>  120,000 </v>
      </c>
      <c r="F16" s="88" t="str">
        <f t="shared" ref="F16:K16" si="10">+E16*1.2</f>
        <v>  144,000 </v>
      </c>
      <c r="G16" s="88" t="str">
        <f t="shared" si="10"/>
        <v>  172,800 </v>
      </c>
      <c r="H16" s="88" t="str">
        <f t="shared" si="10"/>
        <v>  207,360 </v>
      </c>
      <c r="I16" s="88" t="str">
        <f t="shared" si="10"/>
        <v>  248,832 </v>
      </c>
      <c r="J16" s="88" t="str">
        <f t="shared" si="10"/>
        <v>  298,598 </v>
      </c>
      <c r="K16" s="88" t="str">
        <f t="shared" si="10"/>
        <v>  358,318 </v>
      </c>
    </row>
    <row r="17">
      <c r="A17" s="87"/>
      <c r="B17" s="87"/>
      <c r="C17" s="87"/>
      <c r="D17" s="88"/>
      <c r="E17" s="88" t="str">
        <f t="shared" si="11"/>
        <v>  -   </v>
      </c>
      <c r="F17" s="88" t="str">
        <f t="shared" ref="F17:K17" si="12">$D17*F$4*$C17</f>
        <v>  -   </v>
      </c>
      <c r="G17" s="88" t="str">
        <f t="shared" si="12"/>
        <v>  -   </v>
      </c>
      <c r="H17" s="88" t="str">
        <f t="shared" si="12"/>
        <v>  -   </v>
      </c>
      <c r="I17" s="88" t="str">
        <f t="shared" si="12"/>
        <v>  -   </v>
      </c>
      <c r="J17" s="88" t="str">
        <f t="shared" si="12"/>
        <v>  -   </v>
      </c>
      <c r="K17" s="88" t="str">
        <f t="shared" si="12"/>
        <v>  -   </v>
      </c>
    </row>
    <row r="18">
      <c r="A18" s="87"/>
      <c r="B18" s="87"/>
      <c r="C18" s="87"/>
      <c r="D18" s="88"/>
      <c r="E18" s="88" t="str">
        <f t="shared" si="11"/>
        <v>  -   </v>
      </c>
      <c r="F18" s="88" t="str">
        <f t="shared" ref="F18:K18" si="13">$D18*F$4*$C18</f>
        <v>  -   </v>
      </c>
      <c r="G18" s="88" t="str">
        <f t="shared" si="13"/>
        <v>  -   </v>
      </c>
      <c r="H18" s="88" t="str">
        <f t="shared" si="13"/>
        <v>  -   </v>
      </c>
      <c r="I18" s="88" t="str">
        <f t="shared" si="13"/>
        <v>  -   </v>
      </c>
      <c r="J18" s="88" t="str">
        <f t="shared" si="13"/>
        <v>  -   </v>
      </c>
      <c r="K18" s="88" t="str">
        <f t="shared" si="13"/>
        <v>  -   </v>
      </c>
    </row>
    <row r="19">
      <c r="A19" s="87"/>
      <c r="B19" s="87"/>
      <c r="C19" s="87"/>
      <c r="D19" s="88"/>
      <c r="E19" s="88" t="str">
        <f t="shared" si="11"/>
        <v>  -   </v>
      </c>
      <c r="F19" s="88" t="str">
        <f t="shared" ref="F19:K19" si="14">$D19*F$4*$C19</f>
        <v>  -   </v>
      </c>
      <c r="G19" s="88" t="str">
        <f t="shared" si="14"/>
        <v>  -   </v>
      </c>
      <c r="H19" s="88" t="str">
        <f t="shared" si="14"/>
        <v>  -   </v>
      </c>
      <c r="I19" s="88" t="str">
        <f t="shared" si="14"/>
        <v>  -   </v>
      </c>
      <c r="J19" s="88" t="str">
        <f t="shared" si="14"/>
        <v>  -   </v>
      </c>
      <c r="K19" s="88" t="str">
        <f t="shared" si="14"/>
        <v>  -   </v>
      </c>
    </row>
    <row r="20">
      <c r="A20" s="87"/>
      <c r="B20" s="87"/>
      <c r="C20" s="87"/>
      <c r="D20" s="88"/>
      <c r="E20" s="88" t="str">
        <f t="shared" si="11"/>
        <v>  -   </v>
      </c>
      <c r="F20" s="88" t="str">
        <f t="shared" ref="F20:K20" si="15">$D20*F$4*$C20</f>
        <v>  -   </v>
      </c>
      <c r="G20" s="88" t="str">
        <f t="shared" si="15"/>
        <v>  -   </v>
      </c>
      <c r="H20" s="88" t="str">
        <f t="shared" si="15"/>
        <v>  -   </v>
      </c>
      <c r="I20" s="88" t="str">
        <f t="shared" si="15"/>
        <v>  -   </v>
      </c>
      <c r="J20" s="88" t="str">
        <f t="shared" si="15"/>
        <v>  -   </v>
      </c>
      <c r="K20" s="88" t="str">
        <f t="shared" si="15"/>
        <v>  -   </v>
      </c>
    </row>
    <row r="21">
      <c r="A21" s="87"/>
      <c r="B21" s="87"/>
      <c r="C21" s="87"/>
      <c r="D21" s="88"/>
      <c r="E21" s="88" t="str">
        <f t="shared" si="11"/>
        <v>  -   </v>
      </c>
      <c r="F21" s="88" t="str">
        <f t="shared" ref="F21:K21" si="16">$D21*F$4*$C21</f>
        <v>  -   </v>
      </c>
      <c r="G21" s="88" t="str">
        <f t="shared" si="16"/>
        <v>  -   </v>
      </c>
      <c r="H21" s="88" t="str">
        <f t="shared" si="16"/>
        <v>  -   </v>
      </c>
      <c r="I21" s="88" t="str">
        <f t="shared" si="16"/>
        <v>  -   </v>
      </c>
      <c r="J21" s="88" t="str">
        <f t="shared" si="16"/>
        <v>  -   </v>
      </c>
      <c r="K21" s="88" t="str">
        <f t="shared" si="16"/>
        <v>  -   </v>
      </c>
    </row>
    <row r="22">
      <c r="A22" s="87"/>
      <c r="B22" s="87"/>
      <c r="C22" s="87"/>
      <c r="D22" s="88"/>
      <c r="E22" s="88" t="str">
        <f t="shared" si="11"/>
        <v>  -   </v>
      </c>
      <c r="F22" s="88" t="str">
        <f t="shared" ref="F22:K22" si="17">$D22*F$4*$C22</f>
        <v>  -   </v>
      </c>
      <c r="G22" s="88" t="str">
        <f t="shared" si="17"/>
        <v>  -   </v>
      </c>
      <c r="H22" s="88" t="str">
        <f t="shared" si="17"/>
        <v>  -   </v>
      </c>
      <c r="I22" s="88" t="str">
        <f t="shared" si="17"/>
        <v>  -   </v>
      </c>
      <c r="J22" s="88" t="str">
        <f t="shared" si="17"/>
        <v>  -   </v>
      </c>
      <c r="K22" s="88" t="str">
        <f t="shared" si="17"/>
        <v>  -   </v>
      </c>
    </row>
    <row r="23">
      <c r="A23" s="90" t="s">
        <v>271</v>
      </c>
      <c r="B23" s="90"/>
      <c r="C23" s="90"/>
      <c r="D23" s="91"/>
      <c r="E23" s="91" t="str">
        <f t="shared" ref="E23:K23" si="18">SUM(E8:E22)</f>
        <v>  1,188,000 </v>
      </c>
      <c r="F23" s="91" t="str">
        <f t="shared" si="18"/>
        <v>  1,265,400 </v>
      </c>
      <c r="G23" s="91" t="str">
        <f t="shared" si="18"/>
        <v>  1,350,270 </v>
      </c>
      <c r="H23" s="91" t="str">
        <f t="shared" si="18"/>
        <v>  1,443,704 </v>
      </c>
      <c r="I23" s="91" t="str">
        <f t="shared" si="18"/>
        <v>  1,546,993 </v>
      </c>
      <c r="J23" s="91" t="str">
        <f t="shared" si="18"/>
        <v>  1,661,667 </v>
      </c>
      <c r="K23" s="91" t="str">
        <f t="shared" si="18"/>
        <v>  1,789,540 </v>
      </c>
    </row>
    <row r="28">
      <c r="A28" s="199"/>
    </row>
    <row r="29">
      <c r="A29" s="200" t="s">
        <v>272</v>
      </c>
    </row>
    <row r="30">
      <c r="A30" s="199"/>
      <c r="B30" s="199"/>
      <c r="C30" s="199"/>
      <c r="D30" s="199"/>
      <c r="E30" s="199"/>
      <c r="F30" s="199"/>
      <c r="G30" s="199"/>
      <c r="H30" s="199"/>
      <c r="I30" s="199"/>
      <c r="J30" s="199"/>
      <c r="K30" s="199"/>
      <c r="L30" s="199"/>
      <c r="M30" s="199"/>
      <c r="N30" s="199"/>
      <c r="O30" s="199"/>
      <c r="P30" s="120"/>
      <c r="Q30" s="120"/>
    </row>
    <row r="31">
      <c r="A31" s="93"/>
      <c r="B31" s="93"/>
      <c r="C31" s="201" t="s">
        <v>273</v>
      </c>
      <c r="D31" s="2"/>
      <c r="E31" s="2"/>
      <c r="F31" s="2"/>
      <c r="G31" s="2"/>
      <c r="H31" s="2"/>
      <c r="I31" s="2"/>
      <c r="J31" s="93"/>
      <c r="K31" s="202" t="s">
        <v>274</v>
      </c>
      <c r="L31" s="2"/>
      <c r="M31" s="2"/>
      <c r="N31" s="2"/>
      <c r="O31" s="2"/>
      <c r="P31" s="2"/>
      <c r="Q31" s="2"/>
    </row>
    <row r="32">
      <c r="A32" s="197" t="s">
        <v>156</v>
      </c>
      <c r="B32" s="203"/>
      <c r="C32" s="204" t="s">
        <v>137</v>
      </c>
      <c r="D32" s="204" t="s">
        <v>138</v>
      </c>
      <c r="E32" s="204" t="s">
        <v>139</v>
      </c>
      <c r="F32" s="204" t="s">
        <v>140</v>
      </c>
      <c r="G32" s="204" t="s">
        <v>141</v>
      </c>
      <c r="H32" s="204" t="s">
        <v>142</v>
      </c>
      <c r="I32" s="204" t="s">
        <v>143</v>
      </c>
      <c r="J32" s="205"/>
      <c r="K32" s="204" t="s">
        <v>137</v>
      </c>
      <c r="L32" s="204" t="s">
        <v>138</v>
      </c>
      <c r="M32" s="204" t="s">
        <v>139</v>
      </c>
      <c r="N32" s="204" t="s">
        <v>140</v>
      </c>
      <c r="O32" s="204" t="s">
        <v>141</v>
      </c>
      <c r="P32" s="204" t="s">
        <v>142</v>
      </c>
      <c r="Q32" s="204" t="s">
        <v>143</v>
      </c>
    </row>
    <row r="33">
      <c r="A33" s="206" t="s">
        <v>275</v>
      </c>
      <c r="B33" s="87"/>
      <c r="C33" s="87"/>
      <c r="D33" s="87"/>
      <c r="E33" s="87"/>
      <c r="F33" s="87"/>
      <c r="G33" s="207"/>
      <c r="H33" s="207"/>
      <c r="I33" s="207"/>
      <c r="J33" s="87"/>
      <c r="K33" s="87"/>
      <c r="L33" s="87"/>
      <c r="M33" s="87"/>
      <c r="N33" s="87"/>
      <c r="O33" s="207"/>
      <c r="P33" s="207"/>
      <c r="Q33" s="207"/>
    </row>
    <row r="34">
      <c r="A34" s="206"/>
      <c r="B34" s="87"/>
      <c r="C34" s="87"/>
      <c r="D34" s="87"/>
      <c r="E34" s="87"/>
      <c r="F34" s="87"/>
      <c r="G34" s="207"/>
      <c r="H34" s="207"/>
      <c r="I34" s="207"/>
      <c r="J34" s="87"/>
      <c r="K34" s="87"/>
      <c r="L34" s="87"/>
      <c r="M34" s="87"/>
      <c r="N34" s="87"/>
      <c r="O34" s="207"/>
      <c r="P34" s="207"/>
      <c r="Q34" s="207"/>
    </row>
    <row r="35">
      <c r="A35" s="208"/>
      <c r="B35" s="208"/>
      <c r="C35" s="87"/>
      <c r="D35" s="87"/>
      <c r="E35" s="87"/>
      <c r="F35" s="87"/>
      <c r="G35" s="87"/>
      <c r="H35" s="87"/>
      <c r="I35" s="87"/>
      <c r="J35" s="87"/>
      <c r="K35" s="87"/>
      <c r="L35" s="87"/>
      <c r="M35" s="87"/>
      <c r="N35" s="87"/>
      <c r="O35" s="87"/>
      <c r="P35" s="87"/>
      <c r="Q35" s="87"/>
    </row>
    <row r="36">
      <c r="A36" s="209" t="s">
        <v>276</v>
      </c>
      <c r="B36" s="209"/>
      <c r="C36" s="87"/>
      <c r="D36" s="87"/>
      <c r="E36" s="87"/>
      <c r="F36" s="87"/>
      <c r="G36" s="87"/>
      <c r="H36" s="87"/>
      <c r="I36" s="87"/>
      <c r="J36" s="87"/>
      <c r="K36" s="87"/>
      <c r="L36" s="87"/>
      <c r="M36" s="87"/>
      <c r="N36" s="87"/>
      <c r="O36" s="87"/>
      <c r="P36" s="87"/>
      <c r="Q36" s="87"/>
    </row>
    <row r="37">
      <c r="A37" s="208" t="s">
        <v>277</v>
      </c>
      <c r="B37" s="208"/>
      <c r="C37" s="210" t="str">
        <f>'1.Project Cost and MOF'!D5</f>
        <v>  17,569,762 </v>
      </c>
      <c r="D37" s="210" t="str">
        <f t="shared" ref="D37:I37" si="19">C40</f>
        <v>  17,012,801 </v>
      </c>
      <c r="E37" s="210" t="str">
        <f t="shared" si="19"/>
        <v>  16,455,839 </v>
      </c>
      <c r="F37" s="210" t="str">
        <f t="shared" si="19"/>
        <v>  15,898,878 </v>
      </c>
      <c r="G37" s="210" t="str">
        <f t="shared" si="19"/>
        <v>  15,341,916 </v>
      </c>
      <c r="H37" s="210" t="str">
        <f t="shared" si="19"/>
        <v>  14,784,955 </v>
      </c>
      <c r="I37" s="210" t="str">
        <f t="shared" si="19"/>
        <v>  14,227,993 </v>
      </c>
      <c r="J37" s="87"/>
      <c r="K37" s="210" t="str">
        <f>C37</f>
        <v>  17,569,762 </v>
      </c>
      <c r="L37" s="210" t="str">
        <f t="shared" ref="L37:Q37" si="20">K40</f>
        <v>  15,812,786 </v>
      </c>
      <c r="M37" s="210" t="str">
        <f t="shared" si="20"/>
        <v>  14,231,507 </v>
      </c>
      <c r="N37" s="210" t="str">
        <f t="shared" si="20"/>
        <v>  12,808,356 </v>
      </c>
      <c r="O37" s="210" t="str">
        <f t="shared" si="20"/>
        <v>  11,527,521 </v>
      </c>
      <c r="P37" s="210" t="str">
        <f t="shared" si="20"/>
        <v>  10,374,769 </v>
      </c>
      <c r="Q37" s="210" t="str">
        <f t="shared" si="20"/>
        <v>  9,337,292 </v>
      </c>
    </row>
    <row r="38">
      <c r="A38" s="208" t="s">
        <v>278</v>
      </c>
      <c r="B38" s="208"/>
      <c r="C38" s="210" t="str">
        <f t="shared" ref="C38:I38" si="21">$C$37*$B$74</f>
        <v>  556,961 </v>
      </c>
      <c r="D38" s="210" t="str">
        <f t="shared" si="21"/>
        <v>  556,961 </v>
      </c>
      <c r="E38" s="210" t="str">
        <f t="shared" si="21"/>
        <v>  556,961 </v>
      </c>
      <c r="F38" s="210" t="str">
        <f t="shared" si="21"/>
        <v>  556,961 </v>
      </c>
      <c r="G38" s="210" t="str">
        <f t="shared" si="21"/>
        <v>  556,961 </v>
      </c>
      <c r="H38" s="210" t="str">
        <f t="shared" si="21"/>
        <v>  556,961 </v>
      </c>
      <c r="I38" s="210" t="str">
        <f t="shared" si="21"/>
        <v>  556,961 </v>
      </c>
      <c r="J38" s="87"/>
      <c r="K38" s="210" t="str">
        <f t="shared" ref="K38:Q38" si="22">K37*$C$74</f>
        <v>  1,756,976 </v>
      </c>
      <c r="L38" s="210" t="str">
        <f t="shared" si="22"/>
        <v>  1,581,279 </v>
      </c>
      <c r="M38" s="210" t="str">
        <f t="shared" si="22"/>
        <v>  1,423,151 </v>
      </c>
      <c r="N38" s="210" t="str">
        <f t="shared" si="22"/>
        <v>  1,280,836 </v>
      </c>
      <c r="O38" s="210" t="str">
        <f t="shared" si="22"/>
        <v>  1,152,752 </v>
      </c>
      <c r="P38" s="210" t="str">
        <f t="shared" si="22"/>
        <v>  1,037,477 </v>
      </c>
      <c r="Q38" s="210" t="str">
        <f t="shared" si="22"/>
        <v>  933,729 </v>
      </c>
    </row>
    <row r="39">
      <c r="A39" s="208" t="s">
        <v>279</v>
      </c>
      <c r="B39" s="208"/>
      <c r="C39" s="210" t="str">
        <f>C38</f>
        <v>  556,961 </v>
      </c>
      <c r="D39" s="210" t="str">
        <f t="shared" ref="D39:I39" si="23">C39+D38</f>
        <v>  1,113,923 </v>
      </c>
      <c r="E39" s="210" t="str">
        <f t="shared" si="23"/>
        <v>  1,670,884 </v>
      </c>
      <c r="F39" s="210" t="str">
        <f t="shared" si="23"/>
        <v>  2,227,846 </v>
      </c>
      <c r="G39" s="210" t="str">
        <f t="shared" si="23"/>
        <v>  2,784,807 </v>
      </c>
      <c r="H39" s="210" t="str">
        <f t="shared" si="23"/>
        <v>  3,341,769 </v>
      </c>
      <c r="I39" s="210" t="str">
        <f t="shared" si="23"/>
        <v>  3,898,730 </v>
      </c>
      <c r="J39" s="87"/>
      <c r="K39" s="210" t="str">
        <f>K38</f>
        <v>  1,756,976 </v>
      </c>
      <c r="L39" s="210" t="str">
        <f t="shared" ref="L39:Q39" si="24">K39+L38</f>
        <v>  3,338,255 </v>
      </c>
      <c r="M39" s="210" t="str">
        <f t="shared" si="24"/>
        <v>  4,761,406 </v>
      </c>
      <c r="N39" s="210" t="str">
        <f t="shared" si="24"/>
        <v>  6,042,241 </v>
      </c>
      <c r="O39" s="210" t="str">
        <f t="shared" si="24"/>
        <v>  7,194,993 </v>
      </c>
      <c r="P39" s="210" t="str">
        <f t="shared" si="24"/>
        <v>  8,232,470 </v>
      </c>
      <c r="Q39" s="210" t="str">
        <f t="shared" si="24"/>
        <v>  9,166,199 </v>
      </c>
    </row>
    <row r="40">
      <c r="A40" s="208" t="s">
        <v>280</v>
      </c>
      <c r="B40" s="208"/>
      <c r="C40" s="210" t="str">
        <f t="shared" ref="C40:I40" si="25">C37-C38</f>
        <v>  17,012,801 </v>
      </c>
      <c r="D40" s="210" t="str">
        <f t="shared" si="25"/>
        <v>  16,455,839 </v>
      </c>
      <c r="E40" s="210" t="str">
        <f t="shared" si="25"/>
        <v>  15,898,878 </v>
      </c>
      <c r="F40" s="210" t="str">
        <f t="shared" si="25"/>
        <v>  15,341,916 </v>
      </c>
      <c r="G40" s="210" t="str">
        <f t="shared" si="25"/>
        <v>  14,784,955 </v>
      </c>
      <c r="H40" s="210" t="str">
        <f t="shared" si="25"/>
        <v>  14,227,993 </v>
      </c>
      <c r="I40" s="210" t="str">
        <f t="shared" si="25"/>
        <v>  13,671,032 </v>
      </c>
      <c r="J40" s="87"/>
      <c r="K40" s="210" t="str">
        <f t="shared" ref="K40:Q40" si="26">K37-K38</f>
        <v>  15,812,786 </v>
      </c>
      <c r="L40" s="210" t="str">
        <f t="shared" si="26"/>
        <v>  14,231,507 </v>
      </c>
      <c r="M40" s="210" t="str">
        <f t="shared" si="26"/>
        <v>  12,808,356 </v>
      </c>
      <c r="N40" s="210" t="str">
        <f t="shared" si="26"/>
        <v>  11,527,521 </v>
      </c>
      <c r="O40" s="210" t="str">
        <f t="shared" si="26"/>
        <v>  10,374,769 </v>
      </c>
      <c r="P40" s="210" t="str">
        <f t="shared" si="26"/>
        <v>  9,337,292 </v>
      </c>
      <c r="Q40" s="210" t="str">
        <f t="shared" si="26"/>
        <v>  8,403,563 </v>
      </c>
    </row>
    <row r="41">
      <c r="A41" s="208"/>
      <c r="B41" s="208"/>
      <c r="C41" s="210"/>
      <c r="D41" s="210"/>
      <c r="E41" s="210"/>
      <c r="F41" s="210"/>
      <c r="G41" s="210"/>
      <c r="H41" s="210"/>
      <c r="I41" s="210"/>
      <c r="J41" s="87"/>
      <c r="K41" s="210"/>
      <c r="L41" s="210"/>
      <c r="M41" s="210"/>
      <c r="N41" s="210"/>
      <c r="O41" s="210"/>
      <c r="P41" s="210"/>
      <c r="Q41" s="210"/>
    </row>
    <row r="42">
      <c r="A42" s="209" t="s">
        <v>281</v>
      </c>
      <c r="B42" s="209"/>
      <c r="C42" s="210"/>
      <c r="D42" s="210"/>
      <c r="E42" s="210"/>
      <c r="F42" s="210"/>
      <c r="G42" s="210"/>
      <c r="H42" s="210"/>
      <c r="I42" s="210"/>
      <c r="J42" s="87"/>
      <c r="K42" s="210"/>
      <c r="L42" s="210"/>
      <c r="M42" s="210"/>
      <c r="N42" s="210"/>
      <c r="O42" s="210"/>
      <c r="P42" s="210"/>
      <c r="Q42" s="210"/>
    </row>
    <row r="43">
      <c r="A43" s="208" t="s">
        <v>277</v>
      </c>
      <c r="B43" s="208"/>
      <c r="C43" s="210" t="str">
        <f>'1.Project Cost and MOF'!D6</f>
        <v>  7,732,318 </v>
      </c>
      <c r="D43" s="210" t="str">
        <f t="shared" ref="D43:I43" si="27">C46</f>
        <v>  7,242,862 </v>
      </c>
      <c r="E43" s="210" t="str">
        <f t="shared" si="27"/>
        <v>  6,753,407 </v>
      </c>
      <c r="F43" s="210" t="str">
        <f t="shared" si="27"/>
        <v>  6,263,951 </v>
      </c>
      <c r="G43" s="210" t="str">
        <f t="shared" si="27"/>
        <v>  5,774,495 </v>
      </c>
      <c r="H43" s="210" t="str">
        <f t="shared" si="27"/>
        <v>  5,285,039 </v>
      </c>
      <c r="I43" s="210" t="str">
        <f t="shared" si="27"/>
        <v>  4,795,584 </v>
      </c>
      <c r="J43" s="87"/>
      <c r="K43" s="210" t="str">
        <f>C43</f>
        <v>  7,732,318 </v>
      </c>
      <c r="L43" s="210" t="str">
        <f t="shared" ref="L43:Q43" si="28">K46</f>
        <v>  6,572,470 </v>
      </c>
      <c r="M43" s="210" t="str">
        <f t="shared" si="28"/>
        <v>  5,586,600 </v>
      </c>
      <c r="N43" s="210" t="str">
        <f t="shared" si="28"/>
        <v>  4,748,610 </v>
      </c>
      <c r="O43" s="210" t="str">
        <f t="shared" si="28"/>
        <v>  4,036,318 </v>
      </c>
      <c r="P43" s="210" t="str">
        <f t="shared" si="28"/>
        <v>  3,430,871 </v>
      </c>
      <c r="Q43" s="210" t="str">
        <f t="shared" si="28"/>
        <v>  2,916,240 </v>
      </c>
    </row>
    <row r="44">
      <c r="A44" s="208" t="s">
        <v>278</v>
      </c>
      <c r="B44" s="208"/>
      <c r="C44" s="210" t="str">
        <f t="shared" ref="C44:I44" si="29">$C$43*$B$78</f>
        <v>  489,456 </v>
      </c>
      <c r="D44" s="210" t="str">
        <f t="shared" si="29"/>
        <v>  489,456 </v>
      </c>
      <c r="E44" s="210" t="str">
        <f t="shared" si="29"/>
        <v>  489,456 </v>
      </c>
      <c r="F44" s="210" t="str">
        <f t="shared" si="29"/>
        <v>  489,456 </v>
      </c>
      <c r="G44" s="210" t="str">
        <f t="shared" si="29"/>
        <v>  489,456 </v>
      </c>
      <c r="H44" s="210" t="str">
        <f t="shared" si="29"/>
        <v>  489,456 </v>
      </c>
      <c r="I44" s="210" t="str">
        <f t="shared" si="29"/>
        <v>  489,456 </v>
      </c>
      <c r="J44" s="87"/>
      <c r="K44" s="210" t="str">
        <f t="shared" ref="K44:Q44" si="30">K43*$C$78</f>
        <v>  1,159,848 </v>
      </c>
      <c r="L44" s="210" t="str">
        <f t="shared" si="30"/>
        <v>  985,871 </v>
      </c>
      <c r="M44" s="210" t="str">
        <f t="shared" si="30"/>
        <v>  837,990 </v>
      </c>
      <c r="N44" s="210" t="str">
        <f t="shared" si="30"/>
        <v>  712,291 </v>
      </c>
      <c r="O44" s="210" t="str">
        <f t="shared" si="30"/>
        <v>  605,448 </v>
      </c>
      <c r="P44" s="210" t="str">
        <f t="shared" si="30"/>
        <v>  514,631 </v>
      </c>
      <c r="Q44" s="210" t="str">
        <f t="shared" si="30"/>
        <v>  437,436 </v>
      </c>
    </row>
    <row r="45">
      <c r="A45" s="208" t="s">
        <v>279</v>
      </c>
      <c r="B45" s="208"/>
      <c r="C45" s="210" t="str">
        <f>C44</f>
        <v>  489,456 </v>
      </c>
      <c r="D45" s="210" t="str">
        <f t="shared" ref="D45:I45" si="31">C45+D44</f>
        <v>  978,911 </v>
      </c>
      <c r="E45" s="210" t="str">
        <f t="shared" si="31"/>
        <v>  1,468,367 </v>
      </c>
      <c r="F45" s="210" t="str">
        <f t="shared" si="31"/>
        <v>  1,957,823 </v>
      </c>
      <c r="G45" s="210" t="str">
        <f t="shared" si="31"/>
        <v>  2,447,279 </v>
      </c>
      <c r="H45" s="210" t="str">
        <f t="shared" si="31"/>
        <v>  2,936,734 </v>
      </c>
      <c r="I45" s="210" t="str">
        <f t="shared" si="31"/>
        <v>  3,426,190 </v>
      </c>
      <c r="J45" s="87"/>
      <c r="K45" s="210" t="str">
        <f>K44</f>
        <v>  1,159,848 </v>
      </c>
      <c r="L45" s="210" t="str">
        <f t="shared" ref="L45:Q45" si="32">K45+L44</f>
        <v>  2,145,718 </v>
      </c>
      <c r="M45" s="210" t="str">
        <f t="shared" si="32"/>
        <v>  2,983,708 </v>
      </c>
      <c r="N45" s="210" t="str">
        <f t="shared" si="32"/>
        <v>  3,696,000 </v>
      </c>
      <c r="O45" s="210" t="str">
        <f t="shared" si="32"/>
        <v>  4,301,447 </v>
      </c>
      <c r="P45" s="210" t="str">
        <f t="shared" si="32"/>
        <v>  4,816,078 </v>
      </c>
      <c r="Q45" s="210" t="str">
        <f t="shared" si="32"/>
        <v>  5,253,514 </v>
      </c>
    </row>
    <row r="46">
      <c r="A46" s="208" t="s">
        <v>280</v>
      </c>
      <c r="B46" s="208"/>
      <c r="C46" s="210" t="str">
        <f t="shared" ref="C46:I46" si="33">C43-C44</f>
        <v>  7,242,862 </v>
      </c>
      <c r="D46" s="210" t="str">
        <f t="shared" si="33"/>
        <v>  6,753,407 </v>
      </c>
      <c r="E46" s="210" t="str">
        <f t="shared" si="33"/>
        <v>  6,263,951 </v>
      </c>
      <c r="F46" s="210" t="str">
        <f t="shared" si="33"/>
        <v>  5,774,495 </v>
      </c>
      <c r="G46" s="210" t="str">
        <f t="shared" si="33"/>
        <v>  5,285,039 </v>
      </c>
      <c r="H46" s="210" t="str">
        <f t="shared" si="33"/>
        <v>  4,795,584 </v>
      </c>
      <c r="I46" s="210" t="str">
        <f t="shared" si="33"/>
        <v>  4,306,128 </v>
      </c>
      <c r="J46" s="87"/>
      <c r="K46" s="210" t="str">
        <f t="shared" ref="K46:Q46" si="34">K43-K44</f>
        <v>  6,572,470 </v>
      </c>
      <c r="L46" s="210" t="str">
        <f t="shared" si="34"/>
        <v>  5,586,600 </v>
      </c>
      <c r="M46" s="210" t="str">
        <f t="shared" si="34"/>
        <v>  4,748,610 </v>
      </c>
      <c r="N46" s="210" t="str">
        <f t="shared" si="34"/>
        <v>  4,036,318 </v>
      </c>
      <c r="O46" s="210" t="str">
        <f t="shared" si="34"/>
        <v>  3,430,871 </v>
      </c>
      <c r="P46" s="210" t="str">
        <f t="shared" si="34"/>
        <v>  2,916,240 </v>
      </c>
      <c r="Q46" s="210" t="str">
        <f t="shared" si="34"/>
        <v>  2,478,804 </v>
      </c>
    </row>
    <row r="47">
      <c r="A47" s="208"/>
      <c r="B47" s="208"/>
      <c r="C47" s="210"/>
      <c r="D47" s="210"/>
      <c r="E47" s="210"/>
      <c r="F47" s="210"/>
      <c r="G47" s="210"/>
      <c r="H47" s="210"/>
      <c r="I47" s="210"/>
      <c r="J47" s="87"/>
      <c r="K47" s="210"/>
      <c r="L47" s="210"/>
      <c r="M47" s="210"/>
      <c r="N47" s="210"/>
      <c r="O47" s="210"/>
      <c r="P47" s="210"/>
      <c r="Q47" s="210"/>
    </row>
    <row r="48">
      <c r="A48" s="209" t="s">
        <v>282</v>
      </c>
      <c r="B48" s="209"/>
      <c r="C48" s="210"/>
      <c r="D48" s="210"/>
      <c r="E48" s="210"/>
      <c r="F48" s="210"/>
      <c r="G48" s="210"/>
      <c r="H48" s="210"/>
      <c r="I48" s="210"/>
      <c r="J48" s="87"/>
      <c r="K48" s="210"/>
      <c r="L48" s="210"/>
      <c r="M48" s="210"/>
      <c r="N48" s="210"/>
      <c r="O48" s="210"/>
      <c r="P48" s="210"/>
      <c r="Q48" s="210"/>
    </row>
    <row r="49">
      <c r="A49" s="208" t="s">
        <v>277</v>
      </c>
      <c r="B49" s="208"/>
      <c r="C49" s="210" t="str">
        <f>'1.Project Cost and MOF'!D7</f>
        <v>  209,000 </v>
      </c>
      <c r="D49" s="210" t="str">
        <f t="shared" ref="D49:I49" si="35">C52</f>
        <v>  188,100 </v>
      </c>
      <c r="E49" s="210" t="str">
        <f t="shared" si="35"/>
        <v>  167,200 </v>
      </c>
      <c r="F49" s="210" t="str">
        <f t="shared" si="35"/>
        <v>  146,300 </v>
      </c>
      <c r="G49" s="210" t="str">
        <f t="shared" si="35"/>
        <v>  125,400 </v>
      </c>
      <c r="H49" s="210" t="str">
        <f t="shared" si="35"/>
        <v>  104,500 </v>
      </c>
      <c r="I49" s="210" t="str">
        <f t="shared" si="35"/>
        <v>  83,600 </v>
      </c>
      <c r="J49" s="87"/>
      <c r="K49" s="210" t="str">
        <f>C49</f>
        <v>  209,000 </v>
      </c>
      <c r="L49" s="210" t="str">
        <f t="shared" ref="L49:Q49" si="36">K52</f>
        <v>  188,100 </v>
      </c>
      <c r="M49" s="210" t="str">
        <f t="shared" si="36"/>
        <v>  169,290 </v>
      </c>
      <c r="N49" s="210" t="str">
        <f t="shared" si="36"/>
        <v>  152,361 </v>
      </c>
      <c r="O49" s="210" t="str">
        <f t="shared" si="36"/>
        <v>  137,125 </v>
      </c>
      <c r="P49" s="210" t="str">
        <f t="shared" si="36"/>
        <v>  123,412 </v>
      </c>
      <c r="Q49" s="210" t="str">
        <f t="shared" si="36"/>
        <v>  111,071 </v>
      </c>
    </row>
    <row r="50">
      <c r="A50" s="208" t="s">
        <v>278</v>
      </c>
      <c r="B50" s="208"/>
      <c r="C50" s="210" t="str">
        <f t="shared" ref="C50:I50" si="37">$C$49*$B$75</f>
        <v>  20,900 </v>
      </c>
      <c r="D50" s="210" t="str">
        <f t="shared" si="37"/>
        <v>  20,900 </v>
      </c>
      <c r="E50" s="210" t="str">
        <f t="shared" si="37"/>
        <v>  20,900 </v>
      </c>
      <c r="F50" s="210" t="str">
        <f t="shared" si="37"/>
        <v>  20,900 </v>
      </c>
      <c r="G50" s="210" t="str">
        <f t="shared" si="37"/>
        <v>  20,900 </v>
      </c>
      <c r="H50" s="210" t="str">
        <f t="shared" si="37"/>
        <v>  20,900 </v>
      </c>
      <c r="I50" s="210" t="str">
        <f t="shared" si="37"/>
        <v>  20,900 </v>
      </c>
      <c r="J50" s="87"/>
      <c r="K50" s="210" t="str">
        <f t="shared" ref="K50:Q50" si="38">K49*$C$75</f>
        <v>  20,900 </v>
      </c>
      <c r="L50" s="210" t="str">
        <f t="shared" si="38"/>
        <v>  18,810 </v>
      </c>
      <c r="M50" s="210" t="str">
        <f t="shared" si="38"/>
        <v>  16,929 </v>
      </c>
      <c r="N50" s="210" t="str">
        <f t="shared" si="38"/>
        <v>  15,236 </v>
      </c>
      <c r="O50" s="210" t="str">
        <f t="shared" si="38"/>
        <v>  13,712 </v>
      </c>
      <c r="P50" s="210" t="str">
        <f t="shared" si="38"/>
        <v>  12,341 </v>
      </c>
      <c r="Q50" s="210" t="str">
        <f t="shared" si="38"/>
        <v>  11,107 </v>
      </c>
    </row>
    <row r="51">
      <c r="A51" s="208" t="s">
        <v>279</v>
      </c>
      <c r="B51" s="208"/>
      <c r="C51" s="210" t="str">
        <f>C50</f>
        <v>  20,900 </v>
      </c>
      <c r="D51" s="210" t="str">
        <f t="shared" ref="D51:I51" si="39">C51+D50</f>
        <v>  41,800 </v>
      </c>
      <c r="E51" s="210" t="str">
        <f t="shared" si="39"/>
        <v>  62,700 </v>
      </c>
      <c r="F51" s="210" t="str">
        <f t="shared" si="39"/>
        <v>  83,600 </v>
      </c>
      <c r="G51" s="210" t="str">
        <f t="shared" si="39"/>
        <v>  104,500 </v>
      </c>
      <c r="H51" s="210" t="str">
        <f t="shared" si="39"/>
        <v>  125,400 </v>
      </c>
      <c r="I51" s="210" t="str">
        <f t="shared" si="39"/>
        <v>  146,300 </v>
      </c>
      <c r="J51" s="87"/>
      <c r="K51" s="210" t="str">
        <f>K50</f>
        <v>  20,900 </v>
      </c>
      <c r="L51" s="210" t="str">
        <f t="shared" ref="L51:Q51" si="40">K51+L50</f>
        <v>  39,710 </v>
      </c>
      <c r="M51" s="210" t="str">
        <f t="shared" si="40"/>
        <v>  56,639 </v>
      </c>
      <c r="N51" s="210" t="str">
        <f t="shared" si="40"/>
        <v>  71,875 </v>
      </c>
      <c r="O51" s="210" t="str">
        <f t="shared" si="40"/>
        <v>  85,588 </v>
      </c>
      <c r="P51" s="210" t="str">
        <f t="shared" si="40"/>
        <v>  97,929 </v>
      </c>
      <c r="Q51" s="210" t="str">
        <f t="shared" si="40"/>
        <v>  109,036 </v>
      </c>
    </row>
    <row r="52">
      <c r="A52" s="208" t="s">
        <v>280</v>
      </c>
      <c r="B52" s="208"/>
      <c r="C52" s="210" t="str">
        <f t="shared" ref="C52:I52" si="41">C49-C50</f>
        <v>  188,100 </v>
      </c>
      <c r="D52" s="210" t="str">
        <f t="shared" si="41"/>
        <v>  167,200 </v>
      </c>
      <c r="E52" s="210" t="str">
        <f t="shared" si="41"/>
        <v>  146,300 </v>
      </c>
      <c r="F52" s="210" t="str">
        <f t="shared" si="41"/>
        <v>  125,400 </v>
      </c>
      <c r="G52" s="210" t="str">
        <f t="shared" si="41"/>
        <v>  104,500 </v>
      </c>
      <c r="H52" s="210" t="str">
        <f t="shared" si="41"/>
        <v>  83,600 </v>
      </c>
      <c r="I52" s="210" t="str">
        <f t="shared" si="41"/>
        <v>  62,700 </v>
      </c>
      <c r="J52" s="87"/>
      <c r="K52" s="210" t="str">
        <f t="shared" ref="K52:Q52" si="42">K49-K50</f>
        <v>  188,100 </v>
      </c>
      <c r="L52" s="210" t="str">
        <f t="shared" si="42"/>
        <v>  169,290 </v>
      </c>
      <c r="M52" s="210" t="str">
        <f t="shared" si="42"/>
        <v>  152,361 </v>
      </c>
      <c r="N52" s="210" t="str">
        <f t="shared" si="42"/>
        <v>  137,125 </v>
      </c>
      <c r="O52" s="210" t="str">
        <f t="shared" si="42"/>
        <v>  123,412 </v>
      </c>
      <c r="P52" s="210" t="str">
        <f t="shared" si="42"/>
        <v>  111,071 </v>
      </c>
      <c r="Q52" s="210" t="str">
        <f t="shared" si="42"/>
        <v>  99,964 </v>
      </c>
    </row>
    <row r="53">
      <c r="A53" s="208"/>
      <c r="B53" s="208"/>
      <c r="C53" s="210"/>
      <c r="D53" s="210"/>
      <c r="E53" s="210"/>
      <c r="F53" s="210"/>
      <c r="G53" s="210"/>
      <c r="H53" s="210"/>
      <c r="I53" s="210"/>
      <c r="J53" s="87"/>
      <c r="K53" s="210"/>
      <c r="L53" s="210"/>
      <c r="M53" s="210"/>
      <c r="N53" s="210"/>
      <c r="O53" s="210"/>
      <c r="P53" s="210"/>
      <c r="Q53" s="210"/>
    </row>
    <row r="54">
      <c r="A54" s="209" t="s">
        <v>283</v>
      </c>
      <c r="B54" s="209"/>
      <c r="C54" s="210"/>
      <c r="D54" s="210"/>
      <c r="E54" s="210"/>
      <c r="F54" s="210"/>
      <c r="G54" s="210"/>
      <c r="H54" s="210"/>
      <c r="I54" s="210"/>
      <c r="J54" s="87"/>
      <c r="K54" s="210"/>
      <c r="L54" s="210"/>
      <c r="M54" s="210"/>
      <c r="N54" s="210"/>
      <c r="O54" s="210"/>
      <c r="P54" s="210"/>
      <c r="Q54" s="210"/>
    </row>
    <row r="55">
      <c r="A55" s="208" t="s">
        <v>277</v>
      </c>
      <c r="B55" s="208"/>
      <c r="C55" s="210" t="str">
        <f>'1.Project Cost and MOF'!D9</f>
        <v>  -   </v>
      </c>
      <c r="D55" s="210" t="str">
        <f t="shared" ref="D55:I55" si="43">C58</f>
        <v>  -   </v>
      </c>
      <c r="E55" s="210" t="str">
        <f t="shared" si="43"/>
        <v>  -   </v>
      </c>
      <c r="F55" s="210" t="str">
        <f t="shared" si="43"/>
        <v>  -   </v>
      </c>
      <c r="G55" s="210" t="str">
        <f t="shared" si="43"/>
        <v>  -   </v>
      </c>
      <c r="H55" s="210" t="str">
        <f t="shared" si="43"/>
        <v>  -   </v>
      </c>
      <c r="I55" s="210" t="str">
        <f t="shared" si="43"/>
        <v>  -   </v>
      </c>
      <c r="J55" s="87"/>
      <c r="K55" s="210" t="str">
        <f>C55</f>
        <v>  -   </v>
      </c>
      <c r="L55" s="210" t="str">
        <f t="shared" ref="L55:Q55" si="44">K58</f>
        <v>  -   </v>
      </c>
      <c r="M55" s="210" t="str">
        <f t="shared" si="44"/>
        <v>  -   </v>
      </c>
      <c r="N55" s="210" t="str">
        <f t="shared" si="44"/>
        <v>  -   </v>
      </c>
      <c r="O55" s="210" t="str">
        <f t="shared" si="44"/>
        <v>  -   </v>
      </c>
      <c r="P55" s="210" t="str">
        <f t="shared" si="44"/>
        <v>  -   </v>
      </c>
      <c r="Q55" s="210" t="str">
        <f t="shared" si="44"/>
        <v>  -   </v>
      </c>
    </row>
    <row r="56">
      <c r="A56" s="208" t="s">
        <v>278</v>
      </c>
      <c r="B56" s="208"/>
      <c r="C56" s="210" t="str">
        <f t="shared" ref="C56:I56" si="45">$C$55*$B$77</f>
        <v>  -   </v>
      </c>
      <c r="D56" s="210" t="str">
        <f t="shared" si="45"/>
        <v>  -   </v>
      </c>
      <c r="E56" s="210" t="str">
        <f t="shared" si="45"/>
        <v>  -   </v>
      </c>
      <c r="F56" s="210" t="str">
        <f t="shared" si="45"/>
        <v>  -   </v>
      </c>
      <c r="G56" s="210" t="str">
        <f t="shared" si="45"/>
        <v>  -   </v>
      </c>
      <c r="H56" s="210" t="str">
        <f t="shared" si="45"/>
        <v>  -   </v>
      </c>
      <c r="I56" s="210" t="str">
        <f t="shared" si="45"/>
        <v>  -   </v>
      </c>
      <c r="J56" s="87"/>
      <c r="K56" s="210" t="str">
        <f t="shared" ref="K56:Q56" si="46">K55*$C$77</f>
        <v>  -   </v>
      </c>
      <c r="L56" s="210" t="str">
        <f t="shared" si="46"/>
        <v>  -   </v>
      </c>
      <c r="M56" s="210" t="str">
        <f t="shared" si="46"/>
        <v>  -   </v>
      </c>
      <c r="N56" s="210" t="str">
        <f t="shared" si="46"/>
        <v>  -   </v>
      </c>
      <c r="O56" s="210" t="str">
        <f t="shared" si="46"/>
        <v>  -   </v>
      </c>
      <c r="P56" s="210" t="str">
        <f t="shared" si="46"/>
        <v>  -   </v>
      </c>
      <c r="Q56" s="210" t="str">
        <f t="shared" si="46"/>
        <v>  -   </v>
      </c>
    </row>
    <row r="57">
      <c r="A57" s="208" t="s">
        <v>279</v>
      </c>
      <c r="B57" s="208"/>
      <c r="C57" s="210" t="str">
        <f>C56</f>
        <v>  -   </v>
      </c>
      <c r="D57" s="210" t="str">
        <f t="shared" ref="D57:I57" si="47">C57+D56</f>
        <v>  -   </v>
      </c>
      <c r="E57" s="210" t="str">
        <f t="shared" si="47"/>
        <v>  -   </v>
      </c>
      <c r="F57" s="210" t="str">
        <f t="shared" si="47"/>
        <v>  -   </v>
      </c>
      <c r="G57" s="210" t="str">
        <f t="shared" si="47"/>
        <v>  -   </v>
      </c>
      <c r="H57" s="210" t="str">
        <f t="shared" si="47"/>
        <v>  -   </v>
      </c>
      <c r="I57" s="210" t="str">
        <f t="shared" si="47"/>
        <v>  -   </v>
      </c>
      <c r="J57" s="87"/>
      <c r="K57" s="210" t="str">
        <f>K56</f>
        <v>  -   </v>
      </c>
      <c r="L57" s="210" t="str">
        <f t="shared" ref="L57:Q57" si="48">K57+L56</f>
        <v>  -   </v>
      </c>
      <c r="M57" s="210" t="str">
        <f t="shared" si="48"/>
        <v>  -   </v>
      </c>
      <c r="N57" s="210" t="str">
        <f t="shared" si="48"/>
        <v>  -   </v>
      </c>
      <c r="O57" s="210" t="str">
        <f t="shared" si="48"/>
        <v>  -   </v>
      </c>
      <c r="P57" s="210" t="str">
        <f t="shared" si="48"/>
        <v>  -   </v>
      </c>
      <c r="Q57" s="210" t="str">
        <f t="shared" si="48"/>
        <v>  -   </v>
      </c>
    </row>
    <row r="58">
      <c r="A58" s="208" t="s">
        <v>280</v>
      </c>
      <c r="B58" s="208"/>
      <c r="C58" s="210" t="str">
        <f t="shared" ref="C58:I58" si="49">C55-C56</f>
        <v>  -   </v>
      </c>
      <c r="D58" s="210" t="str">
        <f t="shared" si="49"/>
        <v>  -   </v>
      </c>
      <c r="E58" s="210" t="str">
        <f t="shared" si="49"/>
        <v>  -   </v>
      </c>
      <c r="F58" s="210" t="str">
        <f t="shared" si="49"/>
        <v>  -   </v>
      </c>
      <c r="G58" s="210" t="str">
        <f t="shared" si="49"/>
        <v>  -   </v>
      </c>
      <c r="H58" s="210" t="str">
        <f t="shared" si="49"/>
        <v>  -   </v>
      </c>
      <c r="I58" s="210" t="str">
        <f t="shared" si="49"/>
        <v>  -   </v>
      </c>
      <c r="J58" s="87"/>
      <c r="K58" s="210" t="str">
        <f t="shared" ref="K58:Q58" si="50">K55-K56</f>
        <v>  -   </v>
      </c>
      <c r="L58" s="210" t="str">
        <f t="shared" si="50"/>
        <v>  -   </v>
      </c>
      <c r="M58" s="210" t="str">
        <f t="shared" si="50"/>
        <v>  -   </v>
      </c>
      <c r="N58" s="210" t="str">
        <f t="shared" si="50"/>
        <v>  -   </v>
      </c>
      <c r="O58" s="210" t="str">
        <f t="shared" si="50"/>
        <v>  -   </v>
      </c>
      <c r="P58" s="210" t="str">
        <f t="shared" si="50"/>
        <v>  -   </v>
      </c>
      <c r="Q58" s="210" t="str">
        <f t="shared" si="50"/>
        <v>  -   </v>
      </c>
    </row>
    <row r="59">
      <c r="A59" s="208"/>
      <c r="B59" s="208"/>
      <c r="C59" s="210"/>
      <c r="D59" s="210"/>
      <c r="E59" s="210"/>
      <c r="F59" s="210"/>
      <c r="G59" s="210"/>
      <c r="H59" s="210"/>
      <c r="I59" s="210"/>
      <c r="J59" s="87"/>
      <c r="K59" s="210"/>
      <c r="L59" s="210"/>
      <c r="M59" s="210"/>
      <c r="N59" s="210"/>
      <c r="O59" s="210"/>
      <c r="P59" s="210"/>
      <c r="Q59" s="210"/>
    </row>
    <row r="60">
      <c r="A60" s="211" t="s">
        <v>284</v>
      </c>
      <c r="B60" s="208"/>
      <c r="C60" s="210"/>
      <c r="D60" s="210"/>
      <c r="E60" s="210"/>
      <c r="F60" s="210"/>
      <c r="G60" s="210"/>
      <c r="H60" s="210"/>
      <c r="I60" s="210"/>
      <c r="J60" s="87"/>
      <c r="K60" s="210"/>
      <c r="L60" s="210"/>
      <c r="M60" s="210"/>
      <c r="N60" s="210"/>
      <c r="O60" s="210"/>
      <c r="P60" s="210"/>
      <c r="Q60" s="210"/>
    </row>
    <row r="61">
      <c r="A61" s="208" t="str">
        <f t="shared" ref="A61:A64" si="53">A55</f>
        <v>Asset Value</v>
      </c>
      <c r="B61" s="208"/>
      <c r="C61" s="210" t="str">
        <f>'1.Project Cost and MOF'!D8</f>
        <v>  180,500 </v>
      </c>
      <c r="D61" s="210" t="str">
        <f t="shared" ref="D61:I61" si="51">C64</f>
        <v>  162,450 </v>
      </c>
      <c r="E61" s="210" t="str">
        <f t="shared" si="51"/>
        <v>  144,400 </v>
      </c>
      <c r="F61" s="210" t="str">
        <f t="shared" si="51"/>
        <v>  126,350 </v>
      </c>
      <c r="G61" s="210" t="str">
        <f t="shared" si="51"/>
        <v>  108,300 </v>
      </c>
      <c r="H61" s="210" t="str">
        <f t="shared" si="51"/>
        <v>  90,250 </v>
      </c>
      <c r="I61" s="210" t="str">
        <f t="shared" si="51"/>
        <v>  72,200 </v>
      </c>
      <c r="J61" s="87"/>
      <c r="K61" s="210" t="str">
        <f>C61</f>
        <v>  180,500 </v>
      </c>
      <c r="L61" s="210" t="str">
        <f t="shared" ref="L61:Q61" si="52">K64</f>
        <v>  108,300 </v>
      </c>
      <c r="M61" s="210" t="str">
        <f t="shared" si="52"/>
        <v>  64,980 </v>
      </c>
      <c r="N61" s="210" t="str">
        <f t="shared" si="52"/>
        <v>  38,988 </v>
      </c>
      <c r="O61" s="210" t="str">
        <f t="shared" si="52"/>
        <v>  23,393 </v>
      </c>
      <c r="P61" s="210" t="str">
        <f t="shared" si="52"/>
        <v>  14,036 </v>
      </c>
      <c r="Q61" s="210" t="str">
        <f t="shared" si="52"/>
        <v>  8,421 </v>
      </c>
    </row>
    <row r="62">
      <c r="A62" s="208" t="str">
        <f t="shared" si="53"/>
        <v>Depreciation</v>
      </c>
      <c r="B62" s="208"/>
      <c r="C62" s="210" t="str">
        <f t="shared" ref="C62:I62" si="54">$C$61*$B$76</f>
        <v>  18,050 </v>
      </c>
      <c r="D62" s="210" t="str">
        <f t="shared" si="54"/>
        <v>  18,050 </v>
      </c>
      <c r="E62" s="210" t="str">
        <f t="shared" si="54"/>
        <v>  18,050 </v>
      </c>
      <c r="F62" s="210" t="str">
        <f t="shared" si="54"/>
        <v>  18,050 </v>
      </c>
      <c r="G62" s="210" t="str">
        <f t="shared" si="54"/>
        <v>  18,050 </v>
      </c>
      <c r="H62" s="210" t="str">
        <f t="shared" si="54"/>
        <v>  18,050 </v>
      </c>
      <c r="I62" s="210" t="str">
        <f t="shared" si="54"/>
        <v>  18,050 </v>
      </c>
      <c r="J62" s="87"/>
      <c r="K62" s="210" t="str">
        <f t="shared" ref="K62:Q62" si="55">K61*$C$76</f>
        <v>  72,200 </v>
      </c>
      <c r="L62" s="210" t="str">
        <f t="shared" si="55"/>
        <v>  43,320 </v>
      </c>
      <c r="M62" s="210" t="str">
        <f t="shared" si="55"/>
        <v>  25,992 </v>
      </c>
      <c r="N62" s="210" t="str">
        <f t="shared" si="55"/>
        <v>  15,595 </v>
      </c>
      <c r="O62" s="210" t="str">
        <f t="shared" si="55"/>
        <v>  9,357 </v>
      </c>
      <c r="P62" s="210" t="str">
        <f t="shared" si="55"/>
        <v>  5,614 </v>
      </c>
      <c r="Q62" s="210" t="str">
        <f t="shared" si="55"/>
        <v>  3,369 </v>
      </c>
    </row>
    <row r="63">
      <c r="A63" s="208" t="str">
        <f t="shared" si="53"/>
        <v>Accumulated Depreciation</v>
      </c>
      <c r="B63" s="208"/>
      <c r="C63" s="210" t="str">
        <f>C62</f>
        <v>  18,050 </v>
      </c>
      <c r="D63" s="210" t="str">
        <f t="shared" ref="D63:I63" si="56">D62+C63</f>
        <v>  36,100 </v>
      </c>
      <c r="E63" s="210" t="str">
        <f t="shared" si="56"/>
        <v>  54,150 </v>
      </c>
      <c r="F63" s="210" t="str">
        <f t="shared" si="56"/>
        <v>  72,200 </v>
      </c>
      <c r="G63" s="210" t="str">
        <f t="shared" si="56"/>
        <v>  90,250 </v>
      </c>
      <c r="H63" s="210" t="str">
        <f t="shared" si="56"/>
        <v>  108,300 </v>
      </c>
      <c r="I63" s="210" t="str">
        <f t="shared" si="56"/>
        <v>  126,350 </v>
      </c>
      <c r="J63" s="87"/>
      <c r="K63" s="210" t="str">
        <f>K62</f>
        <v>  72,200 </v>
      </c>
      <c r="L63" s="210" t="str">
        <f t="shared" ref="L63:Q63" si="57">L62+K63</f>
        <v>  115,520 </v>
      </c>
      <c r="M63" s="210" t="str">
        <f t="shared" si="57"/>
        <v>  141,512 </v>
      </c>
      <c r="N63" s="210" t="str">
        <f t="shared" si="57"/>
        <v>  157,107 </v>
      </c>
      <c r="O63" s="210" t="str">
        <f t="shared" si="57"/>
        <v>  166,464 </v>
      </c>
      <c r="P63" s="210" t="str">
        <f t="shared" si="57"/>
        <v>  172,079 </v>
      </c>
      <c r="Q63" s="210" t="str">
        <f t="shared" si="57"/>
        <v>  175,447 </v>
      </c>
    </row>
    <row r="64">
      <c r="A64" s="208" t="str">
        <f t="shared" si="53"/>
        <v>Net Fixed Assets</v>
      </c>
      <c r="B64" s="208"/>
      <c r="C64" s="210" t="str">
        <f t="shared" ref="C64:I64" si="58">C61-C62</f>
        <v>  162,450 </v>
      </c>
      <c r="D64" s="210" t="str">
        <f t="shared" si="58"/>
        <v>  144,400 </v>
      </c>
      <c r="E64" s="210" t="str">
        <f t="shared" si="58"/>
        <v>  126,350 </v>
      </c>
      <c r="F64" s="210" t="str">
        <f t="shared" si="58"/>
        <v>  108,300 </v>
      </c>
      <c r="G64" s="210" t="str">
        <f t="shared" si="58"/>
        <v>  90,250 </v>
      </c>
      <c r="H64" s="210" t="str">
        <f t="shared" si="58"/>
        <v>  72,200 </v>
      </c>
      <c r="I64" s="210" t="str">
        <f t="shared" si="58"/>
        <v>  54,150 </v>
      </c>
      <c r="J64" s="87"/>
      <c r="K64" s="210" t="str">
        <f t="shared" ref="K64:Q64" si="59">K61-K62</f>
        <v>  108,300 </v>
      </c>
      <c r="L64" s="210" t="str">
        <f t="shared" si="59"/>
        <v>  64,980 </v>
      </c>
      <c r="M64" s="210" t="str">
        <f t="shared" si="59"/>
        <v>  38,988 </v>
      </c>
      <c r="N64" s="210" t="str">
        <f t="shared" si="59"/>
        <v>  23,393 </v>
      </c>
      <c r="O64" s="210" t="str">
        <f t="shared" si="59"/>
        <v>  14,036 </v>
      </c>
      <c r="P64" s="210" t="str">
        <f t="shared" si="59"/>
        <v>  8,421 </v>
      </c>
      <c r="Q64" s="210" t="str">
        <f t="shared" si="59"/>
        <v>  5,053 </v>
      </c>
    </row>
    <row r="65">
      <c r="A65" s="209" t="s">
        <v>285</v>
      </c>
      <c r="B65" s="209"/>
      <c r="C65" s="212" t="str">
        <f t="shared" ref="C65:I65" si="60">C49+C43+C37+C55+C61</f>
        <v>  25,691,580 </v>
      </c>
      <c r="D65" s="212" t="str">
        <f t="shared" si="60"/>
        <v>  24,606,213 </v>
      </c>
      <c r="E65" s="212" t="str">
        <f t="shared" si="60"/>
        <v>  23,520,846 </v>
      </c>
      <c r="F65" s="212" t="str">
        <f t="shared" si="60"/>
        <v>  22,435,478 </v>
      </c>
      <c r="G65" s="212" t="str">
        <f t="shared" si="60"/>
        <v>  21,350,111 </v>
      </c>
      <c r="H65" s="212" t="str">
        <f t="shared" si="60"/>
        <v>  20,264,744 </v>
      </c>
      <c r="I65" s="212" t="str">
        <f t="shared" si="60"/>
        <v>  19,179,377 </v>
      </c>
      <c r="J65" s="87"/>
      <c r="K65" s="212" t="str">
        <f t="shared" ref="K65:Q65" si="61">K49+K43+K37+K55+K61</f>
        <v>  25,691,580 </v>
      </c>
      <c r="L65" s="212" t="str">
        <f t="shared" si="61"/>
        <v>  22,681,656 </v>
      </c>
      <c r="M65" s="212" t="str">
        <f t="shared" si="61"/>
        <v>  20,052,377 </v>
      </c>
      <c r="N65" s="212" t="str">
        <f t="shared" si="61"/>
        <v>  17,748,315 </v>
      </c>
      <c r="O65" s="212" t="str">
        <f t="shared" si="61"/>
        <v>  15,724,357 </v>
      </c>
      <c r="P65" s="212" t="str">
        <f t="shared" si="61"/>
        <v>  13,943,087 </v>
      </c>
      <c r="Q65" s="212" t="str">
        <f t="shared" si="61"/>
        <v>  12,373,024 </v>
      </c>
    </row>
    <row r="66">
      <c r="A66" s="209" t="s">
        <v>286</v>
      </c>
      <c r="B66" s="209"/>
      <c r="C66" s="212" t="str">
        <f t="shared" ref="C66:I66" si="62">C50+C44+C38+C56+C62</f>
        <v>  1,085,367 </v>
      </c>
      <c r="D66" s="212" t="str">
        <f t="shared" si="62"/>
        <v>  1,085,367 </v>
      </c>
      <c r="E66" s="212" t="str">
        <f t="shared" si="62"/>
        <v>  1,085,367 </v>
      </c>
      <c r="F66" s="212" t="str">
        <f t="shared" si="62"/>
        <v>  1,085,367 </v>
      </c>
      <c r="G66" s="212" t="str">
        <f t="shared" si="62"/>
        <v>  1,085,367 </v>
      </c>
      <c r="H66" s="212" t="str">
        <f t="shared" si="62"/>
        <v>  1,085,367 </v>
      </c>
      <c r="I66" s="212" t="str">
        <f t="shared" si="62"/>
        <v>  1,085,367 </v>
      </c>
      <c r="J66" s="87"/>
      <c r="K66" s="212" t="str">
        <f t="shared" ref="K66:Q66" si="63">K50+K44+K38+K56+K62</f>
        <v>  3,009,924 </v>
      </c>
      <c r="L66" s="212" t="str">
        <f t="shared" si="63"/>
        <v>  2,629,279 </v>
      </c>
      <c r="M66" s="212" t="str">
        <f t="shared" si="63"/>
        <v>  2,304,062 </v>
      </c>
      <c r="N66" s="212" t="str">
        <f t="shared" si="63"/>
        <v>  2,023,958 </v>
      </c>
      <c r="O66" s="212" t="str">
        <f t="shared" si="63"/>
        <v>  1,781,269 </v>
      </c>
      <c r="P66" s="212" t="str">
        <f t="shared" si="63"/>
        <v>  1,570,063 </v>
      </c>
      <c r="Q66" s="212" t="str">
        <f t="shared" si="63"/>
        <v>  1,385,641 </v>
      </c>
    </row>
    <row r="67">
      <c r="A67" s="209" t="s">
        <v>287</v>
      </c>
      <c r="B67" s="209"/>
      <c r="C67" s="212" t="str">
        <f t="shared" ref="C67:I67" si="64">C51+C45+C39+C57+C63</f>
        <v>  1,085,367 </v>
      </c>
      <c r="D67" s="212" t="str">
        <f t="shared" si="64"/>
        <v>  2,170,734 </v>
      </c>
      <c r="E67" s="212" t="str">
        <f t="shared" si="64"/>
        <v>  3,256,102 </v>
      </c>
      <c r="F67" s="212" t="str">
        <f t="shared" si="64"/>
        <v>  4,341,469 </v>
      </c>
      <c r="G67" s="212" t="str">
        <f t="shared" si="64"/>
        <v>  5,426,836 </v>
      </c>
      <c r="H67" s="212" t="str">
        <f t="shared" si="64"/>
        <v>  6,512,203 </v>
      </c>
      <c r="I67" s="212" t="str">
        <f t="shared" si="64"/>
        <v>  7,597,570 </v>
      </c>
      <c r="J67" s="87"/>
      <c r="K67" s="212" t="str">
        <f t="shared" ref="K67:Q67" si="65">K51+K45+K39+K57+K63</f>
        <v>  3,009,924 </v>
      </c>
      <c r="L67" s="212" t="str">
        <f t="shared" si="65"/>
        <v>  5,639,203 </v>
      </c>
      <c r="M67" s="212" t="str">
        <f t="shared" si="65"/>
        <v>  7,943,265 </v>
      </c>
      <c r="N67" s="212" t="str">
        <f t="shared" si="65"/>
        <v>  9,967,223 </v>
      </c>
      <c r="O67" s="212" t="str">
        <f t="shared" si="65"/>
        <v>  11,748,493 </v>
      </c>
      <c r="P67" s="212" t="str">
        <f t="shared" si="65"/>
        <v>  13,318,556 </v>
      </c>
      <c r="Q67" s="212" t="str">
        <f t="shared" si="65"/>
        <v>  14,704,196 </v>
      </c>
    </row>
    <row r="68">
      <c r="A68" s="209" t="s">
        <v>280</v>
      </c>
      <c r="B68" s="209"/>
      <c r="C68" s="212" t="str">
        <f t="shared" ref="C68:I68" si="66">C52+C46+C40+C58+C64</f>
        <v>  24,606,213 </v>
      </c>
      <c r="D68" s="212" t="str">
        <f t="shared" si="66"/>
        <v>  23,520,846 </v>
      </c>
      <c r="E68" s="212" t="str">
        <f t="shared" si="66"/>
        <v>  22,435,478 </v>
      </c>
      <c r="F68" s="212" t="str">
        <f t="shared" si="66"/>
        <v>  21,350,111 </v>
      </c>
      <c r="G68" s="212" t="str">
        <f t="shared" si="66"/>
        <v>  20,264,744 </v>
      </c>
      <c r="H68" s="212" t="str">
        <f t="shared" si="66"/>
        <v>  19,179,377 </v>
      </c>
      <c r="I68" s="212" t="str">
        <f t="shared" si="66"/>
        <v>  18,094,010 </v>
      </c>
      <c r="J68" s="87"/>
      <c r="K68" s="212" t="str">
        <f t="shared" ref="K68:Q68" si="67">K52+K46+K40+K58+K64</f>
        <v>  22,681,656 </v>
      </c>
      <c r="L68" s="212" t="str">
        <f t="shared" si="67"/>
        <v>  20,052,377 </v>
      </c>
      <c r="M68" s="212" t="str">
        <f t="shared" si="67"/>
        <v>  17,748,315 </v>
      </c>
      <c r="N68" s="212" t="str">
        <f t="shared" si="67"/>
        <v>  15,724,357 </v>
      </c>
      <c r="O68" s="212" t="str">
        <f t="shared" si="67"/>
        <v>  13,943,087 </v>
      </c>
      <c r="P68" s="212" t="str">
        <f t="shared" si="67"/>
        <v>  12,373,024 </v>
      </c>
      <c r="Q68" s="212" t="str">
        <f t="shared" si="67"/>
        <v>  10,987,384 </v>
      </c>
    </row>
    <row r="69">
      <c r="A69" s="213"/>
      <c r="B69" s="213"/>
      <c r="C69" s="214"/>
      <c r="D69" s="214"/>
      <c r="E69" s="214"/>
      <c r="F69" s="214"/>
      <c r="G69" s="214"/>
      <c r="H69" s="214"/>
      <c r="I69" s="214"/>
      <c r="J69" s="93"/>
    </row>
    <row r="70">
      <c r="A70" s="93"/>
      <c r="B70" s="93"/>
      <c r="C70" s="93"/>
      <c r="D70" s="93"/>
      <c r="E70" s="93"/>
      <c r="F70" s="93"/>
      <c r="G70" s="93"/>
      <c r="H70" s="93"/>
      <c r="I70" s="93"/>
      <c r="J70" s="93"/>
    </row>
    <row r="71">
      <c r="A71" s="215" t="s">
        <v>288</v>
      </c>
      <c r="B71" s="216" t="s">
        <v>289</v>
      </c>
      <c r="C71" s="217" t="s">
        <v>290</v>
      </c>
      <c r="D71" s="93"/>
      <c r="E71" s="93"/>
      <c r="F71" s="93"/>
      <c r="G71" s="93"/>
      <c r="H71" s="93"/>
      <c r="I71" s="93"/>
      <c r="J71" s="93"/>
    </row>
    <row r="72">
      <c r="A72" s="218" t="s">
        <v>291</v>
      </c>
      <c r="B72" s="216" t="s">
        <v>292</v>
      </c>
      <c r="C72" s="217" t="s">
        <v>293</v>
      </c>
      <c r="D72" s="93"/>
      <c r="E72" s="93"/>
      <c r="F72" s="93"/>
      <c r="G72" s="93"/>
      <c r="H72" s="93"/>
      <c r="I72" s="93"/>
      <c r="J72" s="93"/>
    </row>
    <row r="73">
      <c r="A73" s="218" t="s">
        <v>209</v>
      </c>
      <c r="B73" s="196">
        <v>0.0</v>
      </c>
      <c r="C73" s="196">
        <v>0.0</v>
      </c>
      <c r="D73" s="93"/>
      <c r="E73" s="93"/>
      <c r="F73" s="93"/>
      <c r="G73" s="93"/>
      <c r="H73" s="93"/>
      <c r="I73" s="93"/>
      <c r="J73" s="93"/>
    </row>
    <row r="74">
      <c r="A74" s="219" t="s">
        <v>276</v>
      </c>
      <c r="B74" s="196">
        <v>0.0317</v>
      </c>
      <c r="C74" s="196">
        <v>0.1</v>
      </c>
      <c r="D74" s="195"/>
      <c r="E74" s="93"/>
      <c r="F74" s="93"/>
      <c r="G74" s="93"/>
      <c r="H74" s="93"/>
      <c r="I74" s="93"/>
      <c r="J74" s="93"/>
    </row>
    <row r="75">
      <c r="A75" s="219" t="s">
        <v>282</v>
      </c>
      <c r="B75" s="220">
        <v>0.1</v>
      </c>
      <c r="C75" s="196">
        <v>0.1</v>
      </c>
      <c r="D75" s="93"/>
      <c r="E75" s="93"/>
      <c r="F75" s="93"/>
      <c r="G75" s="93"/>
      <c r="H75" s="93"/>
      <c r="I75" s="93"/>
      <c r="J75" s="93"/>
    </row>
    <row r="76">
      <c r="A76" s="93" t="s">
        <v>294</v>
      </c>
      <c r="B76" s="220">
        <v>0.1</v>
      </c>
      <c r="C76" s="220">
        <v>0.4</v>
      </c>
      <c r="D76" s="93"/>
      <c r="E76" s="93"/>
      <c r="F76" s="93"/>
      <c r="G76" s="93"/>
      <c r="H76" s="93"/>
      <c r="I76" s="93"/>
      <c r="J76" s="93"/>
    </row>
    <row r="77">
      <c r="A77" s="93" t="s">
        <v>295</v>
      </c>
      <c r="B77" s="220">
        <v>0.1188</v>
      </c>
      <c r="C77" s="220">
        <v>0.15</v>
      </c>
      <c r="D77" s="93"/>
      <c r="E77" s="93"/>
      <c r="F77" s="93"/>
      <c r="G77" s="93"/>
      <c r="H77" s="93"/>
      <c r="I77" s="93"/>
      <c r="J77" s="93"/>
    </row>
    <row r="78">
      <c r="A78" s="219" t="s">
        <v>296</v>
      </c>
      <c r="B78" s="220">
        <v>0.0633</v>
      </c>
      <c r="C78" s="220">
        <v>0.15</v>
      </c>
      <c r="D78" s="93"/>
      <c r="E78" s="93"/>
      <c r="F78" s="93"/>
      <c r="G78" s="93"/>
      <c r="H78" s="93"/>
      <c r="I78" s="93"/>
      <c r="J78" s="93"/>
    </row>
    <row r="79">
      <c r="A79" s="218" t="s">
        <v>288</v>
      </c>
      <c r="B79" s="196"/>
      <c r="C79" s="195"/>
      <c r="D79" s="93"/>
      <c r="E79" s="93"/>
      <c r="F79" s="93"/>
      <c r="G79" s="93"/>
      <c r="H79" s="93"/>
      <c r="I79" s="93"/>
      <c r="J79" s="93"/>
    </row>
    <row r="80">
      <c r="A80" s="219" t="s">
        <v>297</v>
      </c>
      <c r="B80" s="195">
        <v>0.2</v>
      </c>
      <c r="C80" s="195">
        <v>0.2</v>
      </c>
      <c r="D80" s="93"/>
      <c r="E80" s="93"/>
      <c r="F80" s="93"/>
      <c r="G80" s="93"/>
      <c r="H80" s="93"/>
      <c r="I80" s="93"/>
      <c r="J80" s="93"/>
    </row>
    <row r="81">
      <c r="A81" s="93"/>
      <c r="B81" s="93"/>
      <c r="C81" s="93"/>
      <c r="D81" s="93"/>
      <c r="E81" s="93"/>
      <c r="F81" s="93"/>
      <c r="G81" s="93"/>
      <c r="H81" s="93"/>
      <c r="I81" s="93"/>
      <c r="J81" s="93"/>
    </row>
    <row r="82">
      <c r="A82" s="93"/>
      <c r="B82" s="93"/>
      <c r="C82" s="93"/>
      <c r="D82" s="93"/>
      <c r="E82" s="195"/>
      <c r="F82" s="93"/>
      <c r="G82" s="93"/>
      <c r="H82" s="93"/>
      <c r="I82" s="93"/>
      <c r="J82" s="93"/>
    </row>
    <row r="83">
      <c r="A83" s="25" t="s">
        <v>298</v>
      </c>
      <c r="K83" s="56"/>
      <c r="L83" s="56"/>
      <c r="M83" s="56"/>
      <c r="N83" s="56"/>
      <c r="O83" s="56"/>
      <c r="P83" s="56"/>
      <c r="Q83" s="56"/>
    </row>
    <row r="84">
      <c r="A84" s="221"/>
      <c r="B84" s="221"/>
      <c r="C84" s="56"/>
      <c r="D84" s="56"/>
      <c r="E84" s="56"/>
      <c r="F84" s="56"/>
      <c r="G84" s="56"/>
      <c r="H84" s="56"/>
      <c r="I84" s="56"/>
      <c r="J84" s="56"/>
      <c r="K84" s="56"/>
      <c r="L84" s="56"/>
      <c r="M84" s="56"/>
      <c r="N84" s="56"/>
      <c r="O84" s="56"/>
      <c r="P84" s="56"/>
      <c r="Q84" s="56"/>
    </row>
    <row r="85">
      <c r="A85" s="222" t="s">
        <v>156</v>
      </c>
      <c r="B85" s="223" t="s">
        <v>299</v>
      </c>
      <c r="C85" s="224" t="s">
        <v>137</v>
      </c>
      <c r="D85" s="224" t="s">
        <v>138</v>
      </c>
      <c r="E85" s="224" t="s">
        <v>139</v>
      </c>
      <c r="F85" s="224" t="s">
        <v>140</v>
      </c>
      <c r="G85" s="224" t="s">
        <v>141</v>
      </c>
      <c r="H85" s="224" t="s">
        <v>142</v>
      </c>
      <c r="I85" s="224" t="s">
        <v>143</v>
      </c>
      <c r="J85" s="225"/>
      <c r="K85" s="225"/>
      <c r="L85" s="225"/>
      <c r="M85" s="56"/>
      <c r="N85" s="56"/>
      <c r="O85" s="56"/>
      <c r="P85" s="56"/>
      <c r="Q85" s="56"/>
    </row>
    <row r="86">
      <c r="A86" s="226" t="s">
        <v>249</v>
      </c>
      <c r="B86" s="227">
        <v>5.0</v>
      </c>
      <c r="C86" s="210" t="str">
        <f>'1.Project Cost and MOF'!$D$10/5</f>
        <v>  232,543 </v>
      </c>
      <c r="D86" s="210" t="str">
        <f>'1.Project Cost and MOF'!$D$10/5</f>
        <v>  232,543 </v>
      </c>
      <c r="E86" s="210" t="str">
        <f>'1.Project Cost and MOF'!$D$10/5</f>
        <v>  232,543 </v>
      </c>
      <c r="F86" s="210" t="str">
        <f>'1.Project Cost and MOF'!$D$10/5</f>
        <v>  232,543 </v>
      </c>
      <c r="G86" s="210" t="str">
        <f>'1.Project Cost and MOF'!$D$10/5</f>
        <v>  232,543 </v>
      </c>
      <c r="H86" s="210">
        <v>0.0</v>
      </c>
      <c r="I86" s="210">
        <v>0.0</v>
      </c>
      <c r="J86" s="225"/>
      <c r="K86" s="225"/>
      <c r="L86" s="225"/>
      <c r="M86" s="56"/>
      <c r="N86" s="56"/>
      <c r="O86" s="56"/>
      <c r="P86" s="56"/>
      <c r="Q86" s="56"/>
    </row>
    <row r="87">
      <c r="A87" s="228" t="s">
        <v>300</v>
      </c>
      <c r="B87" s="229"/>
      <c r="C87" s="212" t="str">
        <f t="shared" ref="C87:I87" si="68">SUM(C85:C86)</f>
        <v>  232,543 </v>
      </c>
      <c r="D87" s="212" t="str">
        <f t="shared" si="68"/>
        <v>  232,543 </v>
      </c>
      <c r="E87" s="212" t="str">
        <f t="shared" si="68"/>
        <v>  232,543 </v>
      </c>
      <c r="F87" s="212" t="str">
        <f t="shared" si="68"/>
        <v>  232,543 </v>
      </c>
      <c r="G87" s="212" t="str">
        <f t="shared" si="68"/>
        <v>  232,543 </v>
      </c>
      <c r="H87" s="212" t="str">
        <f t="shared" si="68"/>
        <v>  -   </v>
      </c>
      <c r="I87" s="212" t="str">
        <f t="shared" si="68"/>
        <v>  -   </v>
      </c>
      <c r="J87" s="230"/>
      <c r="K87" s="230"/>
      <c r="L87" s="230"/>
      <c r="M87" s="56"/>
      <c r="N87" s="56"/>
      <c r="O87" s="56"/>
      <c r="P87" s="56"/>
      <c r="Q87" s="56"/>
    </row>
    <row r="88">
      <c r="A88" s="56"/>
      <c r="B88" s="56"/>
      <c r="C88" s="225"/>
      <c r="D88" s="225"/>
      <c r="E88" s="225"/>
      <c r="F88" s="225"/>
      <c r="G88" s="225"/>
      <c r="H88" s="225"/>
      <c r="I88" s="225"/>
      <c r="J88" s="225"/>
      <c r="K88" s="225"/>
      <c r="L88" s="225"/>
      <c r="M88" s="56"/>
      <c r="N88" s="56"/>
      <c r="O88" s="56"/>
      <c r="P88" s="56"/>
      <c r="Q88" s="56"/>
    </row>
    <row r="91">
      <c r="A91" s="231"/>
      <c r="B91" s="56"/>
      <c r="C91" s="56"/>
      <c r="D91" s="56"/>
      <c r="E91" s="56"/>
      <c r="F91" s="56"/>
      <c r="G91" s="56"/>
      <c r="H91" s="56"/>
      <c r="I91" s="56"/>
      <c r="J91" s="56"/>
      <c r="K91" s="56"/>
    </row>
    <row r="92">
      <c r="A92" s="200" t="s">
        <v>301</v>
      </c>
      <c r="I92" s="232"/>
      <c r="J92" s="232"/>
      <c r="K92" s="232"/>
    </row>
    <row r="93">
      <c r="A93" s="221"/>
      <c r="B93" s="56"/>
      <c r="C93" s="56"/>
      <c r="D93" s="56"/>
      <c r="E93" s="56"/>
      <c r="F93" s="56"/>
      <c r="G93" s="56"/>
      <c r="H93" s="56"/>
      <c r="I93" s="56"/>
      <c r="J93" s="56"/>
      <c r="K93" s="56"/>
    </row>
    <row r="94">
      <c r="A94" s="197" t="s">
        <v>156</v>
      </c>
      <c r="B94" s="198" t="s">
        <v>137</v>
      </c>
      <c r="C94" s="198" t="s">
        <v>138</v>
      </c>
      <c r="D94" s="198" t="s">
        <v>139</v>
      </c>
      <c r="E94" s="198" t="s">
        <v>140</v>
      </c>
      <c r="F94" s="198" t="s">
        <v>141</v>
      </c>
      <c r="G94" s="198" t="s">
        <v>142</v>
      </c>
      <c r="H94" s="198" t="s">
        <v>143</v>
      </c>
      <c r="I94" s="232"/>
      <c r="J94" s="232"/>
      <c r="K94" s="232"/>
    </row>
    <row r="95">
      <c r="A95" s="69" t="s">
        <v>302</v>
      </c>
      <c r="B95" s="233" t="str">
        <f>'6.Cons Profit &amp; Loss'!B49</f>
        <v>2,887,130 </v>
      </c>
      <c r="C95" s="233" t="str">
        <f>'6.Cons Profit &amp; Loss'!C49</f>
        <v>3,518,330 </v>
      </c>
      <c r="D95" s="233" t="str">
        <f>'6.Cons Profit &amp; Loss'!D49</f>
        <v>4,793,539 </v>
      </c>
      <c r="E95" s="233" t="str">
        <f>'6.Cons Profit &amp; Loss'!E49</f>
        <v>6,209,164 </v>
      </c>
      <c r="F95" s="233" t="str">
        <f>'6.Cons Profit &amp; Loss'!F49</f>
        <v>7,751,986 </v>
      </c>
      <c r="G95" s="233" t="str">
        <f>'6.Cons Profit &amp; Loss'!G49</f>
        <v>9,664,353 </v>
      </c>
      <c r="H95" s="233" t="str">
        <f>'6.Cons Profit &amp; Loss'!H49</f>
        <v>11,491,704 </v>
      </c>
      <c r="I95" s="234"/>
      <c r="J95" s="234"/>
      <c r="K95" s="234"/>
    </row>
    <row r="96">
      <c r="A96" s="69" t="s">
        <v>303</v>
      </c>
      <c r="B96" s="233" t="str">
        <f>'6.Cons Profit &amp; Loss'!B42</f>
        <v>1,085,367 </v>
      </c>
      <c r="C96" s="233" t="str">
        <f>'6.Cons Profit &amp; Loss'!C42</f>
        <v>1,085,367 </v>
      </c>
      <c r="D96" s="233" t="str">
        <f>'6.Cons Profit &amp; Loss'!D42</f>
        <v>1,085,367 </v>
      </c>
      <c r="E96" s="233" t="str">
        <f>'6.Cons Profit &amp; Loss'!E42</f>
        <v>1,085,367 </v>
      </c>
      <c r="F96" s="233" t="str">
        <f>'6.Cons Profit &amp; Loss'!F42</f>
        <v>1,085,367 </v>
      </c>
      <c r="G96" s="233" t="str">
        <f>'6.Cons Profit &amp; Loss'!G42</f>
        <v>1,085,367 </v>
      </c>
      <c r="H96" s="233" t="str">
        <f>'6.Cons Profit &amp; Loss'!H42</f>
        <v>1,085,367 </v>
      </c>
      <c r="I96" s="234"/>
      <c r="J96" s="234"/>
      <c r="K96" s="234"/>
    </row>
    <row r="97">
      <c r="A97" s="69" t="s">
        <v>304</v>
      </c>
      <c r="B97" s="233" t="str">
        <f>'3.Other Exp &amp; Taxes'!K66</f>
        <v>3,009,924 </v>
      </c>
      <c r="C97" s="233" t="str">
        <f>'3.Other Exp &amp; Taxes'!L66</f>
        <v>2,629,279 </v>
      </c>
      <c r="D97" s="233" t="str">
        <f>'3.Other Exp &amp; Taxes'!M66</f>
        <v>2,304,062 </v>
      </c>
      <c r="E97" s="233" t="str">
        <f>'3.Other Exp &amp; Taxes'!N66</f>
        <v>2,023,958 </v>
      </c>
      <c r="F97" s="233" t="str">
        <f>'3.Other Exp &amp; Taxes'!O66</f>
        <v>1,781,269 </v>
      </c>
      <c r="G97" s="233" t="str">
        <f>'3.Other Exp &amp; Taxes'!P66</f>
        <v>1,570,063 </v>
      </c>
      <c r="H97" s="233" t="str">
        <f>'3.Other Exp &amp; Taxes'!Q66</f>
        <v>1,385,641 </v>
      </c>
      <c r="I97" s="234"/>
      <c r="J97" s="234"/>
      <c r="K97" s="234"/>
    </row>
    <row r="98">
      <c r="A98" s="69" t="s">
        <v>305</v>
      </c>
      <c r="B98" s="233" t="str">
        <f t="shared" ref="B98:H98" si="69">B95+B96-B97</f>
        <v>962,573 </v>
      </c>
      <c r="C98" s="233" t="str">
        <f t="shared" si="69"/>
        <v>1,974,418 </v>
      </c>
      <c r="D98" s="233" t="str">
        <f t="shared" si="69"/>
        <v>3,574,845 </v>
      </c>
      <c r="E98" s="233" t="str">
        <f t="shared" si="69"/>
        <v>5,270,573 </v>
      </c>
      <c r="F98" s="233" t="str">
        <f t="shared" si="69"/>
        <v>7,056,083 </v>
      </c>
      <c r="G98" s="233" t="str">
        <f t="shared" si="69"/>
        <v>9,179,657 </v>
      </c>
      <c r="H98" s="233" t="str">
        <f t="shared" si="69"/>
        <v>11,191,430 </v>
      </c>
      <c r="I98" s="234"/>
      <c r="J98" s="234"/>
      <c r="K98" s="234"/>
    </row>
    <row r="99">
      <c r="A99" s="71" t="s">
        <v>306</v>
      </c>
      <c r="B99" s="235" t="str">
        <f t="shared" ref="B99:H99" si="70">B98*$B$102</f>
        <v>250,269 </v>
      </c>
      <c r="C99" s="235" t="str">
        <f t="shared" si="70"/>
        <v>513,349 </v>
      </c>
      <c r="D99" s="235" t="str">
        <f t="shared" si="70"/>
        <v>929,460 </v>
      </c>
      <c r="E99" s="235" t="str">
        <f t="shared" si="70"/>
        <v>1,370,349 </v>
      </c>
      <c r="F99" s="235" t="str">
        <f t="shared" si="70"/>
        <v>1,834,582 </v>
      </c>
      <c r="G99" s="235" t="str">
        <f t="shared" si="70"/>
        <v>2,386,711 </v>
      </c>
      <c r="H99" s="235" t="str">
        <f t="shared" si="70"/>
        <v>2,909,772 </v>
      </c>
      <c r="I99" s="234"/>
      <c r="J99" s="234"/>
      <c r="K99" s="234"/>
    </row>
    <row r="100">
      <c r="A100" s="236"/>
      <c r="B100" s="56"/>
      <c r="C100" s="56"/>
      <c r="D100" s="56"/>
      <c r="E100" s="56"/>
      <c r="F100" s="56"/>
      <c r="G100" s="56"/>
      <c r="H100" s="56"/>
      <c r="I100" s="56"/>
      <c r="J100" s="56"/>
      <c r="K100" s="56"/>
    </row>
    <row r="101">
      <c r="A101" s="236"/>
      <c r="B101" s="225"/>
      <c r="C101" s="225"/>
      <c r="D101" s="225"/>
      <c r="E101" s="225"/>
      <c r="F101" s="225"/>
      <c r="G101" s="225"/>
      <c r="H101" s="225"/>
      <c r="I101" s="225"/>
      <c r="J101" s="225"/>
      <c r="K101" s="225"/>
    </row>
    <row r="102">
      <c r="A102" s="237" t="s">
        <v>307</v>
      </c>
      <c r="B102" s="238">
        <v>0.26</v>
      </c>
      <c r="C102" s="225"/>
      <c r="D102" s="225"/>
      <c r="E102" s="225"/>
      <c r="F102" s="225"/>
      <c r="G102" s="225"/>
      <c r="H102" s="225"/>
      <c r="I102" s="225"/>
      <c r="J102" s="225"/>
      <c r="K102" s="225"/>
    </row>
    <row r="103">
      <c r="A103" s="56"/>
      <c r="B103" s="56"/>
      <c r="C103" s="56"/>
      <c r="D103" s="56"/>
      <c r="E103" s="56"/>
      <c r="F103" s="56"/>
      <c r="G103" s="56"/>
      <c r="H103" s="56"/>
      <c r="I103" s="56"/>
      <c r="J103" s="56"/>
      <c r="K103" s="56"/>
    </row>
    <row r="104" ht="28.5" customHeight="1">
      <c r="A104" s="239" t="s">
        <v>308</v>
      </c>
      <c r="I104" s="225"/>
      <c r="J104" s="225"/>
      <c r="K104" s="225"/>
    </row>
  </sheetData>
  <mergeCells count="8">
    <mergeCell ref="A83:J83"/>
    <mergeCell ref="A92:H92"/>
    <mergeCell ref="A104:H104"/>
    <mergeCell ref="A2:K2"/>
    <mergeCell ref="A28:O28"/>
    <mergeCell ref="C31:I31"/>
    <mergeCell ref="K31:Q31"/>
    <mergeCell ref="A29:Q29"/>
  </mergeCells>
  <printOptions/>
  <pageMargins bottom="0.75" footer="0.0" header="0.0" left="0.25" right="0.25" top="0.75"/>
  <pageSetup paperSize="9" scale="51"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1"/>
    <row r="2">
      <c r="A2" s="25" t="s">
        <v>309</v>
      </c>
      <c r="H2" s="120"/>
    </row>
    <row r="3">
      <c r="B3" s="155"/>
      <c r="C3" s="155"/>
      <c r="D3" s="155"/>
      <c r="E3" s="155"/>
      <c r="F3" s="155"/>
      <c r="G3" s="155"/>
    </row>
    <row r="4">
      <c r="A4" s="93"/>
      <c r="B4" s="93"/>
      <c r="C4" s="93" t="s">
        <v>310</v>
      </c>
      <c r="D4" s="102" t="str">
        <f>'1.Project Cost and MOF'!E20</f>
        <v>  7,707,474 </v>
      </c>
      <c r="E4" s="93"/>
      <c r="F4" s="93"/>
      <c r="G4" s="93"/>
    </row>
    <row r="5">
      <c r="A5" s="93"/>
      <c r="B5" s="93"/>
      <c r="C5" s="93" t="s">
        <v>311</v>
      </c>
      <c r="D5" s="195">
        <v>0.14</v>
      </c>
      <c r="E5" s="93"/>
      <c r="F5" s="93"/>
      <c r="G5" s="93"/>
    </row>
    <row r="6">
      <c r="A6" s="93"/>
      <c r="B6" s="93"/>
      <c r="C6" s="93" t="s">
        <v>312</v>
      </c>
      <c r="D6" s="93">
        <v>7.0</v>
      </c>
      <c r="E6" s="93"/>
      <c r="F6" s="93"/>
      <c r="G6" s="93"/>
    </row>
    <row r="7">
      <c r="A7" s="93"/>
      <c r="B7" s="93"/>
      <c r="C7" s="93" t="s">
        <v>313</v>
      </c>
      <c r="D7" s="93">
        <v>6.0</v>
      </c>
      <c r="E7" s="93"/>
      <c r="F7" s="93"/>
      <c r="G7" s="93"/>
    </row>
    <row r="8">
      <c r="A8" s="93"/>
      <c r="B8" s="93"/>
      <c r="C8" s="93" t="s">
        <v>314</v>
      </c>
      <c r="D8" s="240" t="str">
        <f>PMT(D5/12,(D6-(D7/12))*12,-D4)</f>
        <v>Rs. 151,038.11</v>
      </c>
      <c r="E8" s="240"/>
      <c r="F8" s="241"/>
      <c r="G8" s="93"/>
    </row>
    <row r="9">
      <c r="A9" s="197" t="s">
        <v>315</v>
      </c>
      <c r="B9" s="242" t="s">
        <v>316</v>
      </c>
      <c r="C9" s="243" t="s">
        <v>317</v>
      </c>
      <c r="D9" s="243" t="s">
        <v>318</v>
      </c>
      <c r="E9" s="243" t="s">
        <v>319</v>
      </c>
      <c r="F9" s="243" t="s">
        <v>314</v>
      </c>
      <c r="G9" s="243" t="s">
        <v>320</v>
      </c>
    </row>
    <row r="10">
      <c r="A10" s="87" t="s">
        <v>321</v>
      </c>
      <c r="B10" s="87" t="s">
        <v>322</v>
      </c>
      <c r="C10" s="88" t="str">
        <f>D4</f>
        <v>  7,707,474 </v>
      </c>
      <c r="D10" s="88" t="str">
        <f t="shared" ref="D10:D93" si="1">C10*$D$5/12</f>
        <v>  89,921 </v>
      </c>
      <c r="E10" s="88" t="str">
        <f t="shared" ref="E10:E93" si="2">F10-D10</f>
        <v>  -   </v>
      </c>
      <c r="F10" s="88" t="str">
        <f t="shared" ref="F10:F15" si="3">D10</f>
        <v>  89,921 </v>
      </c>
      <c r="G10" s="88" t="str">
        <f t="shared" ref="G10:G93" si="4">C10-E10</f>
        <v>  7,707,474 </v>
      </c>
    </row>
    <row r="11">
      <c r="A11" s="87"/>
      <c r="B11" s="87" t="s">
        <v>323</v>
      </c>
      <c r="C11" s="88" t="str">
        <f t="shared" ref="C11:C93" si="5">G10</f>
        <v>  7,707,474 </v>
      </c>
      <c r="D11" s="88" t="str">
        <f t="shared" si="1"/>
        <v>  89,921 </v>
      </c>
      <c r="E11" s="88" t="str">
        <f t="shared" si="2"/>
        <v>  -   </v>
      </c>
      <c r="F11" s="88" t="str">
        <f t="shared" si="3"/>
        <v>  89,921 </v>
      </c>
      <c r="G11" s="88" t="str">
        <f t="shared" si="4"/>
        <v>  7,707,474 </v>
      </c>
    </row>
    <row r="12">
      <c r="A12" s="87"/>
      <c r="B12" s="87" t="s">
        <v>324</v>
      </c>
      <c r="C12" s="88" t="str">
        <f t="shared" si="5"/>
        <v>  7,707,474 </v>
      </c>
      <c r="D12" s="88" t="str">
        <f t="shared" si="1"/>
        <v>  89,921 </v>
      </c>
      <c r="E12" s="88" t="str">
        <f t="shared" si="2"/>
        <v>  -   </v>
      </c>
      <c r="F12" s="88" t="str">
        <f t="shared" si="3"/>
        <v>  89,921 </v>
      </c>
      <c r="G12" s="88" t="str">
        <f t="shared" si="4"/>
        <v>  7,707,474 </v>
      </c>
    </row>
    <row r="13">
      <c r="A13" s="87"/>
      <c r="B13" s="87" t="s">
        <v>325</v>
      </c>
      <c r="C13" s="88" t="str">
        <f t="shared" si="5"/>
        <v>  7,707,474 </v>
      </c>
      <c r="D13" s="88" t="str">
        <f t="shared" si="1"/>
        <v>  89,921 </v>
      </c>
      <c r="E13" s="88" t="str">
        <f t="shared" si="2"/>
        <v>  -   </v>
      </c>
      <c r="F13" s="88" t="str">
        <f t="shared" si="3"/>
        <v>  89,921 </v>
      </c>
      <c r="G13" s="88" t="str">
        <f t="shared" si="4"/>
        <v>  7,707,474 </v>
      </c>
    </row>
    <row r="14">
      <c r="A14" s="87"/>
      <c r="B14" s="87" t="s">
        <v>326</v>
      </c>
      <c r="C14" s="88" t="str">
        <f t="shared" si="5"/>
        <v>  7,707,474 </v>
      </c>
      <c r="D14" s="88" t="str">
        <f t="shared" si="1"/>
        <v>  89,921 </v>
      </c>
      <c r="E14" s="88" t="str">
        <f t="shared" si="2"/>
        <v>  -   </v>
      </c>
      <c r="F14" s="88" t="str">
        <f t="shared" si="3"/>
        <v>  89,921 </v>
      </c>
      <c r="G14" s="88" t="str">
        <f t="shared" si="4"/>
        <v>  7,707,474 </v>
      </c>
    </row>
    <row r="15">
      <c r="A15" s="87"/>
      <c r="B15" s="87" t="s">
        <v>327</v>
      </c>
      <c r="C15" s="88" t="str">
        <f t="shared" si="5"/>
        <v>  7,707,474 </v>
      </c>
      <c r="D15" s="88" t="str">
        <f t="shared" si="1"/>
        <v>  89,921 </v>
      </c>
      <c r="E15" s="88" t="str">
        <f t="shared" si="2"/>
        <v>  -   </v>
      </c>
      <c r="F15" s="88" t="str">
        <f t="shared" si="3"/>
        <v>  89,921 </v>
      </c>
      <c r="G15" s="88" t="str">
        <f t="shared" si="4"/>
        <v>  7,707,474 </v>
      </c>
    </row>
    <row r="16">
      <c r="A16" s="87"/>
      <c r="B16" s="87" t="s">
        <v>328</v>
      </c>
      <c r="C16" s="88" t="str">
        <f t="shared" si="5"/>
        <v>  7,707,474 </v>
      </c>
      <c r="D16" s="88" t="str">
        <f t="shared" si="1"/>
        <v>  89,921 </v>
      </c>
      <c r="E16" s="88" t="str">
        <f t="shared" si="2"/>
        <v>  61,118 </v>
      </c>
      <c r="F16" s="88" t="str">
        <f t="shared" ref="F16:F93" si="6">$D$8</f>
        <v>  151,038 </v>
      </c>
      <c r="G16" s="88" t="str">
        <f t="shared" si="4"/>
        <v>  7,646,356 </v>
      </c>
    </row>
    <row r="17">
      <c r="A17" s="87"/>
      <c r="B17" s="87" t="s">
        <v>329</v>
      </c>
      <c r="C17" s="88" t="str">
        <f t="shared" si="5"/>
        <v>  7,646,356 </v>
      </c>
      <c r="D17" s="88" t="str">
        <f t="shared" si="1"/>
        <v>  89,207 </v>
      </c>
      <c r="E17" s="88" t="str">
        <f t="shared" si="2"/>
        <v>  61,831 </v>
      </c>
      <c r="F17" s="88" t="str">
        <f t="shared" si="6"/>
        <v>  151,038 </v>
      </c>
      <c r="G17" s="88" t="str">
        <f t="shared" si="4"/>
        <v>  7,584,526 </v>
      </c>
    </row>
    <row r="18">
      <c r="A18" s="87"/>
      <c r="B18" s="87" t="s">
        <v>330</v>
      </c>
      <c r="C18" s="88" t="str">
        <f t="shared" si="5"/>
        <v>  7,584,526 </v>
      </c>
      <c r="D18" s="88" t="str">
        <f t="shared" si="1"/>
        <v>  88,486 </v>
      </c>
      <c r="E18" s="88" t="str">
        <f t="shared" si="2"/>
        <v>  62,552 </v>
      </c>
      <c r="F18" s="88" t="str">
        <f t="shared" si="6"/>
        <v>  151,038 </v>
      </c>
      <c r="G18" s="88" t="str">
        <f t="shared" si="4"/>
        <v>  7,521,974 </v>
      </c>
    </row>
    <row r="19">
      <c r="A19" s="87"/>
      <c r="B19" s="87" t="s">
        <v>331</v>
      </c>
      <c r="C19" s="88" t="str">
        <f t="shared" si="5"/>
        <v>  7,521,974 </v>
      </c>
      <c r="D19" s="88" t="str">
        <f t="shared" si="1"/>
        <v>  87,756 </v>
      </c>
      <c r="E19" s="88" t="str">
        <f t="shared" si="2"/>
        <v>  63,282 </v>
      </c>
      <c r="F19" s="88" t="str">
        <f t="shared" si="6"/>
        <v>  151,038 </v>
      </c>
      <c r="G19" s="88" t="str">
        <f t="shared" si="4"/>
        <v>  7,458,692 </v>
      </c>
    </row>
    <row r="20">
      <c r="A20" s="87"/>
      <c r="B20" s="87" t="s">
        <v>332</v>
      </c>
      <c r="C20" s="88" t="str">
        <f t="shared" si="5"/>
        <v>  7,458,692 </v>
      </c>
      <c r="D20" s="88" t="str">
        <f t="shared" si="1"/>
        <v>  87,018 </v>
      </c>
      <c r="E20" s="88" t="str">
        <f t="shared" si="2"/>
        <v>  64,020 </v>
      </c>
      <c r="F20" s="88" t="str">
        <f t="shared" si="6"/>
        <v>  151,038 </v>
      </c>
      <c r="G20" s="88" t="str">
        <f t="shared" si="4"/>
        <v>  7,394,672 </v>
      </c>
    </row>
    <row r="21">
      <c r="A21" s="87"/>
      <c r="B21" s="87" t="s">
        <v>333</v>
      </c>
      <c r="C21" s="88" t="str">
        <f t="shared" si="5"/>
        <v>  7,394,672 </v>
      </c>
      <c r="D21" s="88" t="str">
        <f t="shared" si="1"/>
        <v>  86,271 </v>
      </c>
      <c r="E21" s="88" t="str">
        <f t="shared" si="2"/>
        <v>  64,767 </v>
      </c>
      <c r="F21" s="88" t="str">
        <f t="shared" si="6"/>
        <v>  151,038 </v>
      </c>
      <c r="G21" s="88" t="str">
        <f t="shared" si="4"/>
        <v>  7,329,905 </v>
      </c>
      <c r="H21" s="244"/>
      <c r="I21" s="244"/>
    </row>
    <row r="22">
      <c r="A22" s="87" t="s">
        <v>334</v>
      </c>
      <c r="B22" s="87" t="s">
        <v>335</v>
      </c>
      <c r="C22" s="88" t="str">
        <f t="shared" si="5"/>
        <v>  7,329,905 </v>
      </c>
      <c r="D22" s="88" t="str">
        <f t="shared" si="1"/>
        <v>  85,516 </v>
      </c>
      <c r="E22" s="88" t="str">
        <f t="shared" si="2"/>
        <v>  65,523 </v>
      </c>
      <c r="F22" s="88" t="str">
        <f t="shared" si="6"/>
        <v>  151,038 </v>
      </c>
      <c r="G22" s="88" t="str">
        <f t="shared" si="4"/>
        <v>  7,264,383 </v>
      </c>
    </row>
    <row r="23">
      <c r="A23" s="87"/>
      <c r="B23" s="87" t="s">
        <v>336</v>
      </c>
      <c r="C23" s="88" t="str">
        <f t="shared" si="5"/>
        <v>  7,264,383 </v>
      </c>
      <c r="D23" s="88" t="str">
        <f t="shared" si="1"/>
        <v>  84,751 </v>
      </c>
      <c r="E23" s="88" t="str">
        <f t="shared" si="2"/>
        <v>  66,287 </v>
      </c>
      <c r="F23" s="88" t="str">
        <f t="shared" si="6"/>
        <v>  151,038 </v>
      </c>
      <c r="G23" s="88" t="str">
        <f t="shared" si="4"/>
        <v>  7,198,096 </v>
      </c>
    </row>
    <row r="24">
      <c r="A24" s="87"/>
      <c r="B24" s="87" t="s">
        <v>337</v>
      </c>
      <c r="C24" s="88" t="str">
        <f t="shared" si="5"/>
        <v>  7,198,096 </v>
      </c>
      <c r="D24" s="88" t="str">
        <f t="shared" si="1"/>
        <v>  83,978 </v>
      </c>
      <c r="E24" s="88" t="str">
        <f t="shared" si="2"/>
        <v>  67,060 </v>
      </c>
      <c r="F24" s="88" t="str">
        <f t="shared" si="6"/>
        <v>  151,038 </v>
      </c>
      <c r="G24" s="88" t="str">
        <f t="shared" si="4"/>
        <v>  7,131,035 </v>
      </c>
    </row>
    <row r="25">
      <c r="A25" s="87"/>
      <c r="B25" s="87" t="s">
        <v>338</v>
      </c>
      <c r="C25" s="88" t="str">
        <f t="shared" si="5"/>
        <v>  7,131,035 </v>
      </c>
      <c r="D25" s="88" t="str">
        <f t="shared" si="1"/>
        <v>  83,195 </v>
      </c>
      <c r="E25" s="88" t="str">
        <f t="shared" si="2"/>
        <v>  67,843 </v>
      </c>
      <c r="F25" s="88" t="str">
        <f t="shared" si="6"/>
        <v>  151,038 </v>
      </c>
      <c r="G25" s="88" t="str">
        <f t="shared" si="4"/>
        <v>  7,063,193 </v>
      </c>
    </row>
    <row r="26">
      <c r="A26" s="87"/>
      <c r="B26" s="87" t="s">
        <v>339</v>
      </c>
      <c r="C26" s="88" t="str">
        <f t="shared" si="5"/>
        <v>  7,063,193 </v>
      </c>
      <c r="D26" s="88" t="str">
        <f t="shared" si="1"/>
        <v>  82,404 </v>
      </c>
      <c r="E26" s="88" t="str">
        <f t="shared" si="2"/>
        <v>  68,634 </v>
      </c>
      <c r="F26" s="88" t="str">
        <f t="shared" si="6"/>
        <v>  151,038 </v>
      </c>
      <c r="G26" s="88" t="str">
        <f t="shared" si="4"/>
        <v>  6,994,558 </v>
      </c>
    </row>
    <row r="27">
      <c r="A27" s="87"/>
      <c r="B27" s="87" t="s">
        <v>340</v>
      </c>
      <c r="C27" s="88" t="str">
        <f t="shared" si="5"/>
        <v>  6,994,558 </v>
      </c>
      <c r="D27" s="88" t="str">
        <f t="shared" si="1"/>
        <v>  81,603 </v>
      </c>
      <c r="E27" s="88" t="str">
        <f t="shared" si="2"/>
        <v>  69,435 </v>
      </c>
      <c r="F27" s="88" t="str">
        <f t="shared" si="6"/>
        <v>  151,038 </v>
      </c>
      <c r="G27" s="88" t="str">
        <f t="shared" si="4"/>
        <v>  6,925,123 </v>
      </c>
    </row>
    <row r="28">
      <c r="A28" s="87"/>
      <c r="B28" s="87" t="s">
        <v>341</v>
      </c>
      <c r="C28" s="88" t="str">
        <f t="shared" si="5"/>
        <v>  6,925,123 </v>
      </c>
      <c r="D28" s="88" t="str">
        <f t="shared" si="1"/>
        <v>  80,793 </v>
      </c>
      <c r="E28" s="88" t="str">
        <f t="shared" si="2"/>
        <v>  70,245 </v>
      </c>
      <c r="F28" s="88" t="str">
        <f t="shared" si="6"/>
        <v>  151,038 </v>
      </c>
      <c r="G28" s="88" t="str">
        <f t="shared" si="4"/>
        <v>  6,854,878 </v>
      </c>
    </row>
    <row r="29">
      <c r="A29" s="87"/>
      <c r="B29" s="87" t="s">
        <v>342</v>
      </c>
      <c r="C29" s="88" t="str">
        <f t="shared" si="5"/>
        <v>  6,854,878 </v>
      </c>
      <c r="D29" s="88" t="str">
        <f t="shared" si="1"/>
        <v>  79,974 </v>
      </c>
      <c r="E29" s="88" t="str">
        <f t="shared" si="2"/>
        <v>  71,065 </v>
      </c>
      <c r="F29" s="88" t="str">
        <f t="shared" si="6"/>
        <v>  151,038 </v>
      </c>
      <c r="G29" s="88" t="str">
        <f t="shared" si="4"/>
        <v>  6,783,814 </v>
      </c>
    </row>
    <row r="30">
      <c r="A30" s="87"/>
      <c r="B30" s="87" t="s">
        <v>343</v>
      </c>
      <c r="C30" s="88" t="str">
        <f t="shared" si="5"/>
        <v>  6,783,814 </v>
      </c>
      <c r="D30" s="88" t="str">
        <f t="shared" si="1"/>
        <v>  79,144 </v>
      </c>
      <c r="E30" s="88" t="str">
        <f t="shared" si="2"/>
        <v>  71,894 </v>
      </c>
      <c r="F30" s="88" t="str">
        <f t="shared" si="6"/>
        <v>  151,038 </v>
      </c>
      <c r="G30" s="88" t="str">
        <f t="shared" si="4"/>
        <v>  6,711,920 </v>
      </c>
    </row>
    <row r="31">
      <c r="A31" s="87"/>
      <c r="B31" s="87" t="s">
        <v>344</v>
      </c>
      <c r="C31" s="88" t="str">
        <f t="shared" si="5"/>
        <v>  6,711,920 </v>
      </c>
      <c r="D31" s="88" t="str">
        <f t="shared" si="1"/>
        <v>  78,306 </v>
      </c>
      <c r="E31" s="88" t="str">
        <f t="shared" si="2"/>
        <v>  72,732 </v>
      </c>
      <c r="F31" s="88" t="str">
        <f t="shared" si="6"/>
        <v>  151,038 </v>
      </c>
      <c r="G31" s="88" t="str">
        <f t="shared" si="4"/>
        <v>  6,639,188 </v>
      </c>
    </row>
    <row r="32">
      <c r="A32" s="87"/>
      <c r="B32" s="87" t="s">
        <v>345</v>
      </c>
      <c r="C32" s="88" t="str">
        <f t="shared" si="5"/>
        <v>  6,639,188 </v>
      </c>
      <c r="D32" s="88" t="str">
        <f t="shared" si="1"/>
        <v>  77,457 </v>
      </c>
      <c r="E32" s="88" t="str">
        <f t="shared" si="2"/>
        <v>  73,581 </v>
      </c>
      <c r="F32" s="88" t="str">
        <f t="shared" si="6"/>
        <v>  151,038 </v>
      </c>
      <c r="G32" s="88" t="str">
        <f t="shared" si="4"/>
        <v>  6,565,607 </v>
      </c>
    </row>
    <row r="33">
      <c r="A33" s="87"/>
      <c r="B33" s="87" t="s">
        <v>346</v>
      </c>
      <c r="C33" s="88" t="str">
        <f t="shared" si="5"/>
        <v>  6,565,607 </v>
      </c>
      <c r="D33" s="88" t="str">
        <f t="shared" si="1"/>
        <v>  76,599 </v>
      </c>
      <c r="E33" s="88" t="str">
        <f t="shared" si="2"/>
        <v>  74,439 </v>
      </c>
      <c r="F33" s="88" t="str">
        <f t="shared" si="6"/>
        <v>  151,038 </v>
      </c>
      <c r="G33" s="88" t="str">
        <f t="shared" si="4"/>
        <v>  6,491,168 </v>
      </c>
      <c r="H33" s="244"/>
      <c r="I33" s="244"/>
    </row>
    <row r="34">
      <c r="A34" s="87" t="s">
        <v>347</v>
      </c>
      <c r="B34" s="87" t="s">
        <v>348</v>
      </c>
      <c r="C34" s="88" t="str">
        <f t="shared" si="5"/>
        <v>  6,491,168 </v>
      </c>
      <c r="D34" s="88" t="str">
        <f t="shared" si="1"/>
        <v>  75,730 </v>
      </c>
      <c r="E34" s="88" t="str">
        <f t="shared" si="2"/>
        <v>  75,308 </v>
      </c>
      <c r="F34" s="88" t="str">
        <f t="shared" si="6"/>
        <v>  151,038 </v>
      </c>
      <c r="G34" s="88" t="str">
        <f t="shared" si="4"/>
        <v>  6,415,860 </v>
      </c>
    </row>
    <row r="35">
      <c r="A35" s="87"/>
      <c r="B35" s="87" t="s">
        <v>349</v>
      </c>
      <c r="C35" s="88" t="str">
        <f t="shared" si="5"/>
        <v>  6,415,860 </v>
      </c>
      <c r="D35" s="88" t="str">
        <f t="shared" si="1"/>
        <v>  74,852 </v>
      </c>
      <c r="E35" s="88" t="str">
        <f t="shared" si="2"/>
        <v>  76,186 </v>
      </c>
      <c r="F35" s="88" t="str">
        <f t="shared" si="6"/>
        <v>  151,038 </v>
      </c>
      <c r="G35" s="88" t="str">
        <f t="shared" si="4"/>
        <v>  6,339,673 </v>
      </c>
    </row>
    <row r="36">
      <c r="A36" s="87"/>
      <c r="B36" s="87" t="s">
        <v>350</v>
      </c>
      <c r="C36" s="88" t="str">
        <f t="shared" si="5"/>
        <v>  6,339,673 </v>
      </c>
      <c r="D36" s="88" t="str">
        <f t="shared" si="1"/>
        <v>  73,963 </v>
      </c>
      <c r="E36" s="88" t="str">
        <f t="shared" si="2"/>
        <v>  77,075 </v>
      </c>
      <c r="F36" s="88" t="str">
        <f t="shared" si="6"/>
        <v>  151,038 </v>
      </c>
      <c r="G36" s="88" t="str">
        <f t="shared" si="4"/>
        <v>  6,262,598 </v>
      </c>
    </row>
    <row r="37">
      <c r="A37" s="87"/>
      <c r="B37" s="87" t="s">
        <v>351</v>
      </c>
      <c r="C37" s="88" t="str">
        <f t="shared" si="5"/>
        <v>  6,262,598 </v>
      </c>
      <c r="D37" s="88" t="str">
        <f t="shared" si="1"/>
        <v>  73,064 </v>
      </c>
      <c r="E37" s="88" t="str">
        <f t="shared" si="2"/>
        <v>  77,974 </v>
      </c>
      <c r="F37" s="88" t="str">
        <f t="shared" si="6"/>
        <v>  151,038 </v>
      </c>
      <c r="G37" s="88" t="str">
        <f t="shared" si="4"/>
        <v>  6,184,624 </v>
      </c>
    </row>
    <row r="38">
      <c r="A38" s="87"/>
      <c r="B38" s="87" t="s">
        <v>352</v>
      </c>
      <c r="C38" s="88" t="str">
        <f t="shared" si="5"/>
        <v>  6,184,624 </v>
      </c>
      <c r="D38" s="88" t="str">
        <f t="shared" si="1"/>
        <v>  72,154 </v>
      </c>
      <c r="E38" s="88" t="str">
        <f t="shared" si="2"/>
        <v>  78,884 </v>
      </c>
      <c r="F38" s="88" t="str">
        <f t="shared" si="6"/>
        <v>  151,038 </v>
      </c>
      <c r="G38" s="88" t="str">
        <f t="shared" si="4"/>
        <v>  6,105,739 </v>
      </c>
    </row>
    <row r="39">
      <c r="A39" s="87"/>
      <c r="B39" s="87" t="s">
        <v>353</v>
      </c>
      <c r="C39" s="88" t="str">
        <f t="shared" si="5"/>
        <v>  6,105,739 </v>
      </c>
      <c r="D39" s="88" t="str">
        <f t="shared" si="1"/>
        <v>  71,234 </v>
      </c>
      <c r="E39" s="88" t="str">
        <f t="shared" si="2"/>
        <v>  79,804 </v>
      </c>
      <c r="F39" s="88" t="str">
        <f t="shared" si="6"/>
        <v>  151,038 </v>
      </c>
      <c r="G39" s="88" t="str">
        <f t="shared" si="4"/>
        <v>  6,025,935 </v>
      </c>
    </row>
    <row r="40">
      <c r="A40" s="87"/>
      <c r="B40" s="87" t="s">
        <v>354</v>
      </c>
      <c r="C40" s="88" t="str">
        <f t="shared" si="5"/>
        <v>  6,025,935 </v>
      </c>
      <c r="D40" s="88" t="str">
        <f t="shared" si="1"/>
        <v>  70,303 </v>
      </c>
      <c r="E40" s="88" t="str">
        <f t="shared" si="2"/>
        <v>  80,736 </v>
      </c>
      <c r="F40" s="88" t="str">
        <f t="shared" si="6"/>
        <v>  151,038 </v>
      </c>
      <c r="G40" s="88" t="str">
        <f t="shared" si="4"/>
        <v>  5,945,199 </v>
      </c>
    </row>
    <row r="41">
      <c r="A41" s="87"/>
      <c r="B41" s="87" t="s">
        <v>355</v>
      </c>
      <c r="C41" s="88" t="str">
        <f t="shared" si="5"/>
        <v>  5,945,199 </v>
      </c>
      <c r="D41" s="88" t="str">
        <f t="shared" si="1"/>
        <v>  69,361 </v>
      </c>
      <c r="E41" s="88" t="str">
        <f t="shared" si="2"/>
        <v>  81,677 </v>
      </c>
      <c r="F41" s="88" t="str">
        <f t="shared" si="6"/>
        <v>  151,038 </v>
      </c>
      <c r="G41" s="88" t="str">
        <f t="shared" si="4"/>
        <v>  5,863,522 </v>
      </c>
    </row>
    <row r="42">
      <c r="A42" s="87"/>
      <c r="B42" s="87" t="s">
        <v>356</v>
      </c>
      <c r="C42" s="88" t="str">
        <f t="shared" si="5"/>
        <v>  5,863,522 </v>
      </c>
      <c r="D42" s="88" t="str">
        <f t="shared" si="1"/>
        <v>  68,408 </v>
      </c>
      <c r="E42" s="88" t="str">
        <f t="shared" si="2"/>
        <v>  82,630 </v>
      </c>
      <c r="F42" s="88" t="str">
        <f t="shared" si="6"/>
        <v>  151,038 </v>
      </c>
      <c r="G42" s="88" t="str">
        <f t="shared" si="4"/>
        <v>  5,780,892 </v>
      </c>
    </row>
    <row r="43">
      <c r="A43" s="87"/>
      <c r="B43" s="87" t="s">
        <v>357</v>
      </c>
      <c r="C43" s="88" t="str">
        <f t="shared" si="5"/>
        <v>  5,780,892 </v>
      </c>
      <c r="D43" s="88" t="str">
        <f t="shared" si="1"/>
        <v>  67,444 </v>
      </c>
      <c r="E43" s="88" t="str">
        <f t="shared" si="2"/>
        <v>  83,594 </v>
      </c>
      <c r="F43" s="88" t="str">
        <f t="shared" si="6"/>
        <v>  151,038 </v>
      </c>
      <c r="G43" s="88" t="str">
        <f t="shared" si="4"/>
        <v>  5,697,297 </v>
      </c>
    </row>
    <row r="44">
      <c r="A44" s="87"/>
      <c r="B44" s="87" t="s">
        <v>358</v>
      </c>
      <c r="C44" s="88" t="str">
        <f t="shared" si="5"/>
        <v>  5,697,297 </v>
      </c>
      <c r="D44" s="88" t="str">
        <f t="shared" si="1"/>
        <v>  66,468 </v>
      </c>
      <c r="E44" s="88" t="str">
        <f t="shared" si="2"/>
        <v>  84,570 </v>
      </c>
      <c r="F44" s="88" t="str">
        <f t="shared" si="6"/>
        <v>  151,038 </v>
      </c>
      <c r="G44" s="88" t="str">
        <f t="shared" si="4"/>
        <v>  5,612,728 </v>
      </c>
    </row>
    <row r="45">
      <c r="A45" s="87"/>
      <c r="B45" s="87" t="s">
        <v>359</v>
      </c>
      <c r="C45" s="88" t="str">
        <f t="shared" si="5"/>
        <v>  5,612,728 </v>
      </c>
      <c r="D45" s="88" t="str">
        <f t="shared" si="1"/>
        <v>  65,482 </v>
      </c>
      <c r="E45" s="88" t="str">
        <f t="shared" si="2"/>
        <v>  85,556 </v>
      </c>
      <c r="F45" s="88" t="str">
        <f t="shared" si="6"/>
        <v>  151,038 </v>
      </c>
      <c r="G45" s="88" t="str">
        <f t="shared" si="4"/>
        <v>  5,527,171 </v>
      </c>
      <c r="H45" s="244"/>
      <c r="I45" s="244"/>
    </row>
    <row r="46">
      <c r="A46" s="87" t="s">
        <v>360</v>
      </c>
      <c r="B46" s="87" t="s">
        <v>361</v>
      </c>
      <c r="C46" s="88" t="str">
        <f t="shared" si="5"/>
        <v>  5,527,171 </v>
      </c>
      <c r="D46" s="88" t="str">
        <f t="shared" si="1"/>
        <v>  64,484 </v>
      </c>
      <c r="E46" s="88" t="str">
        <f t="shared" si="2"/>
        <v>  86,554 </v>
      </c>
      <c r="F46" s="88" t="str">
        <f t="shared" si="6"/>
        <v>  151,038 </v>
      </c>
      <c r="G46" s="88" t="str">
        <f t="shared" si="4"/>
        <v>  5,440,617 </v>
      </c>
    </row>
    <row r="47">
      <c r="A47" s="87"/>
      <c r="B47" s="87" t="s">
        <v>362</v>
      </c>
      <c r="C47" s="88" t="str">
        <f t="shared" si="5"/>
        <v>  5,440,617 </v>
      </c>
      <c r="D47" s="88" t="str">
        <f t="shared" si="1"/>
        <v>  63,474 </v>
      </c>
      <c r="E47" s="88" t="str">
        <f t="shared" si="2"/>
        <v>  87,564 </v>
      </c>
      <c r="F47" s="88" t="str">
        <f t="shared" si="6"/>
        <v>  151,038 </v>
      </c>
      <c r="G47" s="88" t="str">
        <f t="shared" si="4"/>
        <v>  5,353,053 </v>
      </c>
    </row>
    <row r="48">
      <c r="A48" s="87"/>
      <c r="B48" s="87" t="s">
        <v>363</v>
      </c>
      <c r="C48" s="88" t="str">
        <f t="shared" si="5"/>
        <v>  5,353,053 </v>
      </c>
      <c r="D48" s="88" t="str">
        <f t="shared" si="1"/>
        <v>  62,452 </v>
      </c>
      <c r="E48" s="88" t="str">
        <f t="shared" si="2"/>
        <v>  88,586 </v>
      </c>
      <c r="F48" s="88" t="str">
        <f t="shared" si="6"/>
        <v>  151,038 </v>
      </c>
      <c r="G48" s="88" t="str">
        <f t="shared" si="4"/>
        <v>  5,264,467 </v>
      </c>
    </row>
    <row r="49">
      <c r="A49" s="87"/>
      <c r="B49" s="87" t="s">
        <v>364</v>
      </c>
      <c r="C49" s="88" t="str">
        <f t="shared" si="5"/>
        <v>  5,264,467 </v>
      </c>
      <c r="D49" s="88" t="str">
        <f t="shared" si="1"/>
        <v>  61,419 </v>
      </c>
      <c r="E49" s="88" t="str">
        <f t="shared" si="2"/>
        <v>  89,619 </v>
      </c>
      <c r="F49" s="88" t="str">
        <f t="shared" si="6"/>
        <v>  151,038 </v>
      </c>
      <c r="G49" s="88" t="str">
        <f t="shared" si="4"/>
        <v>  5,174,847 </v>
      </c>
    </row>
    <row r="50">
      <c r="A50" s="87"/>
      <c r="B50" s="87" t="s">
        <v>365</v>
      </c>
      <c r="C50" s="88" t="str">
        <f t="shared" si="5"/>
        <v>  5,174,847 </v>
      </c>
      <c r="D50" s="88" t="str">
        <f t="shared" si="1"/>
        <v>  60,373 </v>
      </c>
      <c r="E50" s="88" t="str">
        <f t="shared" si="2"/>
        <v>  90,665 </v>
      </c>
      <c r="F50" s="88" t="str">
        <f t="shared" si="6"/>
        <v>  151,038 </v>
      </c>
      <c r="G50" s="88" t="str">
        <f t="shared" si="4"/>
        <v>  5,084,182 </v>
      </c>
    </row>
    <row r="51">
      <c r="A51" s="87"/>
      <c r="B51" s="87" t="s">
        <v>366</v>
      </c>
      <c r="C51" s="88" t="str">
        <f t="shared" si="5"/>
        <v>  5,084,182 </v>
      </c>
      <c r="D51" s="88" t="str">
        <f t="shared" si="1"/>
        <v>  59,315 </v>
      </c>
      <c r="E51" s="88" t="str">
        <f t="shared" si="2"/>
        <v>  91,723 </v>
      </c>
      <c r="F51" s="88" t="str">
        <f t="shared" si="6"/>
        <v>  151,038 </v>
      </c>
      <c r="G51" s="88" t="str">
        <f t="shared" si="4"/>
        <v>  4,992,460 </v>
      </c>
    </row>
    <row r="52">
      <c r="A52" s="87"/>
      <c r="B52" s="87" t="s">
        <v>367</v>
      </c>
      <c r="C52" s="88" t="str">
        <f t="shared" si="5"/>
        <v>  4,992,460 </v>
      </c>
      <c r="D52" s="88" t="str">
        <f t="shared" si="1"/>
        <v>  58,245 </v>
      </c>
      <c r="E52" s="88" t="str">
        <f t="shared" si="2"/>
        <v>  92,793 </v>
      </c>
      <c r="F52" s="88" t="str">
        <f t="shared" si="6"/>
        <v>  151,038 </v>
      </c>
      <c r="G52" s="88" t="str">
        <f t="shared" si="4"/>
        <v>  4,899,667 </v>
      </c>
    </row>
    <row r="53">
      <c r="A53" s="87"/>
      <c r="B53" s="87" t="s">
        <v>368</v>
      </c>
      <c r="C53" s="88" t="str">
        <f t="shared" si="5"/>
        <v>  4,899,667 </v>
      </c>
      <c r="D53" s="88" t="str">
        <f t="shared" si="1"/>
        <v>  57,163 </v>
      </c>
      <c r="E53" s="88" t="str">
        <f t="shared" si="2"/>
        <v>  93,875 </v>
      </c>
      <c r="F53" s="88" t="str">
        <f t="shared" si="6"/>
        <v>  151,038 </v>
      </c>
      <c r="G53" s="88" t="str">
        <f t="shared" si="4"/>
        <v>  4,805,792 </v>
      </c>
    </row>
    <row r="54">
      <c r="A54" s="87"/>
      <c r="B54" s="87" t="s">
        <v>369</v>
      </c>
      <c r="C54" s="88" t="str">
        <f t="shared" si="5"/>
        <v>  4,805,792 </v>
      </c>
      <c r="D54" s="88" t="str">
        <f t="shared" si="1"/>
        <v>  56,068 </v>
      </c>
      <c r="E54" s="88" t="str">
        <f t="shared" si="2"/>
        <v>  94,971 </v>
      </c>
      <c r="F54" s="88" t="str">
        <f t="shared" si="6"/>
        <v>  151,038 </v>
      </c>
      <c r="G54" s="88" t="str">
        <f t="shared" si="4"/>
        <v>  4,710,821 </v>
      </c>
    </row>
    <row r="55">
      <c r="A55" s="87"/>
      <c r="B55" s="87" t="s">
        <v>370</v>
      </c>
      <c r="C55" s="88" t="str">
        <f t="shared" si="5"/>
        <v>  4,710,821 </v>
      </c>
      <c r="D55" s="88" t="str">
        <f t="shared" si="1"/>
        <v>  54,960 </v>
      </c>
      <c r="E55" s="88" t="str">
        <f t="shared" si="2"/>
        <v>  96,079 </v>
      </c>
      <c r="F55" s="88" t="str">
        <f t="shared" si="6"/>
        <v>  151,038 </v>
      </c>
      <c r="G55" s="88" t="str">
        <f t="shared" si="4"/>
        <v>  4,614,743 </v>
      </c>
    </row>
    <row r="56">
      <c r="A56" s="87"/>
      <c r="B56" s="87" t="s">
        <v>371</v>
      </c>
      <c r="C56" s="88" t="str">
        <f t="shared" si="5"/>
        <v>  4,614,743 </v>
      </c>
      <c r="D56" s="88" t="str">
        <f t="shared" si="1"/>
        <v>  53,839 </v>
      </c>
      <c r="E56" s="88" t="str">
        <f t="shared" si="2"/>
        <v>  97,199 </v>
      </c>
      <c r="F56" s="88" t="str">
        <f t="shared" si="6"/>
        <v>  151,038 </v>
      </c>
      <c r="G56" s="88" t="str">
        <f t="shared" si="4"/>
        <v>  4,517,543 </v>
      </c>
    </row>
    <row r="57">
      <c r="A57" s="87"/>
      <c r="B57" s="87" t="s">
        <v>372</v>
      </c>
      <c r="C57" s="88" t="str">
        <f t="shared" si="5"/>
        <v>  4,517,543 </v>
      </c>
      <c r="D57" s="88" t="str">
        <f t="shared" si="1"/>
        <v>  52,705 </v>
      </c>
      <c r="E57" s="88" t="str">
        <f t="shared" si="2"/>
        <v>  98,333 </v>
      </c>
      <c r="F57" s="88" t="str">
        <f t="shared" si="6"/>
        <v>  151,038 </v>
      </c>
      <c r="G57" s="88" t="str">
        <f t="shared" si="4"/>
        <v>  4,419,210 </v>
      </c>
      <c r="H57" s="244"/>
      <c r="I57" s="244"/>
    </row>
    <row r="58">
      <c r="A58" s="87" t="s">
        <v>373</v>
      </c>
      <c r="B58" s="87" t="s">
        <v>374</v>
      </c>
      <c r="C58" s="88" t="str">
        <f t="shared" si="5"/>
        <v>  4,419,210 </v>
      </c>
      <c r="D58" s="88" t="str">
        <f t="shared" si="1"/>
        <v>  51,557 </v>
      </c>
      <c r="E58" s="88" t="str">
        <f t="shared" si="2"/>
        <v>  99,481 </v>
      </c>
      <c r="F58" s="88" t="str">
        <f t="shared" si="6"/>
        <v>  151,038 </v>
      </c>
      <c r="G58" s="88" t="str">
        <f t="shared" si="4"/>
        <v>  4,319,729 </v>
      </c>
    </row>
    <row r="59">
      <c r="A59" s="87"/>
      <c r="B59" s="87" t="s">
        <v>375</v>
      </c>
      <c r="C59" s="88" t="str">
        <f t="shared" si="5"/>
        <v>  4,319,729 </v>
      </c>
      <c r="D59" s="88" t="str">
        <f t="shared" si="1"/>
        <v>  50,397 </v>
      </c>
      <c r="E59" s="88" t="str">
        <f t="shared" si="2"/>
        <v>  100,641 </v>
      </c>
      <c r="F59" s="88" t="str">
        <f t="shared" si="6"/>
        <v>  151,038 </v>
      </c>
      <c r="G59" s="88" t="str">
        <f t="shared" si="4"/>
        <v>  4,219,088 </v>
      </c>
    </row>
    <row r="60">
      <c r="A60" s="87"/>
      <c r="B60" s="87" t="s">
        <v>376</v>
      </c>
      <c r="C60" s="88" t="str">
        <f t="shared" si="5"/>
        <v>  4,219,088 </v>
      </c>
      <c r="D60" s="88" t="str">
        <f t="shared" si="1"/>
        <v>  49,223 </v>
      </c>
      <c r="E60" s="88" t="str">
        <f t="shared" si="2"/>
        <v>  101,815 </v>
      </c>
      <c r="F60" s="88" t="str">
        <f t="shared" si="6"/>
        <v>  151,038 </v>
      </c>
      <c r="G60" s="88" t="str">
        <f t="shared" si="4"/>
        <v>  4,117,272 </v>
      </c>
    </row>
    <row r="61">
      <c r="A61" s="87"/>
      <c r="B61" s="87" t="s">
        <v>377</v>
      </c>
      <c r="C61" s="88" t="str">
        <f t="shared" si="5"/>
        <v>  4,117,272 </v>
      </c>
      <c r="D61" s="88" t="str">
        <f t="shared" si="1"/>
        <v>  48,035 </v>
      </c>
      <c r="E61" s="88" t="str">
        <f t="shared" si="2"/>
        <v>  103,003 </v>
      </c>
      <c r="F61" s="88" t="str">
        <f t="shared" si="6"/>
        <v>  151,038 </v>
      </c>
      <c r="G61" s="88" t="str">
        <f t="shared" si="4"/>
        <v>  4,014,269 </v>
      </c>
    </row>
    <row r="62">
      <c r="A62" s="87"/>
      <c r="B62" s="87" t="s">
        <v>378</v>
      </c>
      <c r="C62" s="88" t="str">
        <f t="shared" si="5"/>
        <v>  4,014,269 </v>
      </c>
      <c r="D62" s="88" t="str">
        <f t="shared" si="1"/>
        <v>  46,833 </v>
      </c>
      <c r="E62" s="88" t="str">
        <f t="shared" si="2"/>
        <v>  104,205 </v>
      </c>
      <c r="F62" s="88" t="str">
        <f t="shared" si="6"/>
        <v>  151,038 </v>
      </c>
      <c r="G62" s="88" t="str">
        <f t="shared" si="4"/>
        <v>  3,910,064 </v>
      </c>
    </row>
    <row r="63">
      <c r="A63" s="87"/>
      <c r="B63" s="87" t="s">
        <v>379</v>
      </c>
      <c r="C63" s="88" t="str">
        <f t="shared" si="5"/>
        <v>  3,910,064 </v>
      </c>
      <c r="D63" s="88" t="str">
        <f t="shared" si="1"/>
        <v>  45,617 </v>
      </c>
      <c r="E63" s="88" t="str">
        <f t="shared" si="2"/>
        <v>  105,421 </v>
      </c>
      <c r="F63" s="88" t="str">
        <f t="shared" si="6"/>
        <v>  151,038 </v>
      </c>
      <c r="G63" s="88" t="str">
        <f t="shared" si="4"/>
        <v>  3,804,643 </v>
      </c>
    </row>
    <row r="64">
      <c r="A64" s="87"/>
      <c r="B64" s="87" t="s">
        <v>380</v>
      </c>
      <c r="C64" s="88" t="str">
        <f t="shared" si="5"/>
        <v>  3,804,643 </v>
      </c>
      <c r="D64" s="88" t="str">
        <f t="shared" si="1"/>
        <v>  44,388 </v>
      </c>
      <c r="E64" s="88" t="str">
        <f t="shared" si="2"/>
        <v>  106,651 </v>
      </c>
      <c r="F64" s="88" t="str">
        <f t="shared" si="6"/>
        <v>  151,038 </v>
      </c>
      <c r="G64" s="88" t="str">
        <f t="shared" si="4"/>
        <v>  3,697,993 </v>
      </c>
    </row>
    <row r="65">
      <c r="A65" s="87"/>
      <c r="B65" s="87" t="s">
        <v>381</v>
      </c>
      <c r="C65" s="88" t="str">
        <f t="shared" si="5"/>
        <v>  3,697,993 </v>
      </c>
      <c r="D65" s="88" t="str">
        <f t="shared" si="1"/>
        <v>  43,143 </v>
      </c>
      <c r="E65" s="88" t="str">
        <f t="shared" si="2"/>
        <v>  107,895 </v>
      </c>
      <c r="F65" s="88" t="str">
        <f t="shared" si="6"/>
        <v>  151,038 </v>
      </c>
      <c r="G65" s="88" t="str">
        <f t="shared" si="4"/>
        <v>  3,590,098 </v>
      </c>
    </row>
    <row r="66">
      <c r="A66" s="87"/>
      <c r="B66" s="87" t="s">
        <v>382</v>
      </c>
      <c r="C66" s="88" t="str">
        <f t="shared" si="5"/>
        <v>  3,590,098 </v>
      </c>
      <c r="D66" s="88" t="str">
        <f t="shared" si="1"/>
        <v>  41,884 </v>
      </c>
      <c r="E66" s="88" t="str">
        <f t="shared" si="2"/>
        <v>  109,154 </v>
      </c>
      <c r="F66" s="88" t="str">
        <f t="shared" si="6"/>
        <v>  151,038 </v>
      </c>
      <c r="G66" s="88" t="str">
        <f t="shared" si="4"/>
        <v>  3,480,944 </v>
      </c>
    </row>
    <row r="67">
      <c r="A67" s="87"/>
      <c r="B67" s="87" t="s">
        <v>383</v>
      </c>
      <c r="C67" s="88" t="str">
        <f t="shared" si="5"/>
        <v>  3,480,944 </v>
      </c>
      <c r="D67" s="88" t="str">
        <f t="shared" si="1"/>
        <v>  40,611 </v>
      </c>
      <c r="E67" s="88" t="str">
        <f t="shared" si="2"/>
        <v>  110,427 </v>
      </c>
      <c r="F67" s="88" t="str">
        <f t="shared" si="6"/>
        <v>  151,038 </v>
      </c>
      <c r="G67" s="88" t="str">
        <f t="shared" si="4"/>
        <v>  3,370,517 </v>
      </c>
    </row>
    <row r="68">
      <c r="A68" s="87"/>
      <c r="B68" s="87" t="s">
        <v>384</v>
      </c>
      <c r="C68" s="88" t="str">
        <f t="shared" si="5"/>
        <v>  3,370,517 </v>
      </c>
      <c r="D68" s="88" t="str">
        <f t="shared" si="1"/>
        <v>  39,323 </v>
      </c>
      <c r="E68" s="88" t="str">
        <f t="shared" si="2"/>
        <v>  111,715 </v>
      </c>
      <c r="F68" s="88" t="str">
        <f t="shared" si="6"/>
        <v>  151,038 </v>
      </c>
      <c r="G68" s="88" t="str">
        <f t="shared" si="4"/>
        <v>  3,258,802 </v>
      </c>
    </row>
    <row r="69">
      <c r="A69" s="87"/>
      <c r="B69" s="87" t="s">
        <v>385</v>
      </c>
      <c r="C69" s="88" t="str">
        <f t="shared" si="5"/>
        <v>  3,258,802 </v>
      </c>
      <c r="D69" s="88" t="str">
        <f t="shared" si="1"/>
        <v>  38,019 </v>
      </c>
      <c r="E69" s="88" t="str">
        <f t="shared" si="2"/>
        <v>  113,019 </v>
      </c>
      <c r="F69" s="88" t="str">
        <f t="shared" si="6"/>
        <v>  151,038 </v>
      </c>
      <c r="G69" s="88" t="str">
        <f t="shared" si="4"/>
        <v>  3,145,783 </v>
      </c>
      <c r="H69" s="244"/>
      <c r="I69" s="244"/>
    </row>
    <row r="70">
      <c r="A70" s="87" t="s">
        <v>386</v>
      </c>
      <c r="B70" s="87" t="s">
        <v>387</v>
      </c>
      <c r="C70" s="88" t="str">
        <f t="shared" si="5"/>
        <v>  3,145,783 </v>
      </c>
      <c r="D70" s="88" t="str">
        <f t="shared" si="1"/>
        <v>  36,701 </v>
      </c>
      <c r="E70" s="88" t="str">
        <f t="shared" si="2"/>
        <v>  114,337 </v>
      </c>
      <c r="F70" s="88" t="str">
        <f t="shared" si="6"/>
        <v>  151,038 </v>
      </c>
      <c r="G70" s="88" t="str">
        <f t="shared" si="4"/>
        <v>  3,031,446 </v>
      </c>
    </row>
    <row r="71">
      <c r="A71" s="87"/>
      <c r="B71" s="87" t="s">
        <v>388</v>
      </c>
      <c r="C71" s="88" t="str">
        <f t="shared" si="5"/>
        <v>  3,031,446 </v>
      </c>
      <c r="D71" s="88" t="str">
        <f t="shared" si="1"/>
        <v>  35,367 </v>
      </c>
      <c r="E71" s="88" t="str">
        <f t="shared" si="2"/>
        <v>  115,671 </v>
      </c>
      <c r="F71" s="88" t="str">
        <f t="shared" si="6"/>
        <v>  151,038 </v>
      </c>
      <c r="G71" s="88" t="str">
        <f t="shared" si="4"/>
        <v>  2,915,774 </v>
      </c>
    </row>
    <row r="72">
      <c r="A72" s="87"/>
      <c r="B72" s="87" t="s">
        <v>389</v>
      </c>
      <c r="C72" s="88" t="str">
        <f t="shared" si="5"/>
        <v>  2,915,774 </v>
      </c>
      <c r="D72" s="88" t="str">
        <f t="shared" si="1"/>
        <v>  34,017 </v>
      </c>
      <c r="E72" s="88" t="str">
        <f t="shared" si="2"/>
        <v>  117,021 </v>
      </c>
      <c r="F72" s="88" t="str">
        <f t="shared" si="6"/>
        <v>  151,038 </v>
      </c>
      <c r="G72" s="88" t="str">
        <f t="shared" si="4"/>
        <v>  2,798,754 </v>
      </c>
    </row>
    <row r="73">
      <c r="A73" s="87"/>
      <c r="B73" s="87" t="s">
        <v>390</v>
      </c>
      <c r="C73" s="88" t="str">
        <f t="shared" si="5"/>
        <v>  2,798,754 </v>
      </c>
      <c r="D73" s="88" t="str">
        <f t="shared" si="1"/>
        <v>  32,652 </v>
      </c>
      <c r="E73" s="88" t="str">
        <f t="shared" si="2"/>
        <v>  118,386 </v>
      </c>
      <c r="F73" s="88" t="str">
        <f t="shared" si="6"/>
        <v>  151,038 </v>
      </c>
      <c r="G73" s="88" t="str">
        <f t="shared" si="4"/>
        <v>  2,680,368 </v>
      </c>
    </row>
    <row r="74">
      <c r="A74" s="87"/>
      <c r="B74" s="87" t="s">
        <v>391</v>
      </c>
      <c r="C74" s="88" t="str">
        <f t="shared" si="5"/>
        <v>  2,680,368 </v>
      </c>
      <c r="D74" s="88" t="str">
        <f t="shared" si="1"/>
        <v>  31,271 </v>
      </c>
      <c r="E74" s="88" t="str">
        <f t="shared" si="2"/>
        <v>  119,767 </v>
      </c>
      <c r="F74" s="88" t="str">
        <f t="shared" si="6"/>
        <v>  151,038 </v>
      </c>
      <c r="G74" s="88" t="str">
        <f t="shared" si="4"/>
        <v>  2,560,601 </v>
      </c>
    </row>
    <row r="75">
      <c r="A75" s="87"/>
      <c r="B75" s="87" t="s">
        <v>392</v>
      </c>
      <c r="C75" s="88" t="str">
        <f t="shared" si="5"/>
        <v>  2,560,601 </v>
      </c>
      <c r="D75" s="88" t="str">
        <f t="shared" si="1"/>
        <v>  29,874 </v>
      </c>
      <c r="E75" s="88" t="str">
        <f t="shared" si="2"/>
        <v>  121,164 </v>
      </c>
      <c r="F75" s="88" t="str">
        <f t="shared" si="6"/>
        <v>  151,038 </v>
      </c>
      <c r="G75" s="88" t="str">
        <f t="shared" si="4"/>
        <v>  2,439,436 </v>
      </c>
    </row>
    <row r="76">
      <c r="A76" s="87"/>
      <c r="B76" s="87" t="s">
        <v>393</v>
      </c>
      <c r="C76" s="88" t="str">
        <f t="shared" si="5"/>
        <v>  2,439,436 </v>
      </c>
      <c r="D76" s="88" t="str">
        <f t="shared" si="1"/>
        <v>  28,460 </v>
      </c>
      <c r="E76" s="88" t="str">
        <f t="shared" si="2"/>
        <v>  122,578 </v>
      </c>
      <c r="F76" s="88" t="str">
        <f t="shared" si="6"/>
        <v>  151,038 </v>
      </c>
      <c r="G76" s="88" t="str">
        <f t="shared" si="4"/>
        <v>  2,316,858 </v>
      </c>
    </row>
    <row r="77">
      <c r="A77" s="87"/>
      <c r="B77" s="87" t="s">
        <v>394</v>
      </c>
      <c r="C77" s="88" t="str">
        <f t="shared" si="5"/>
        <v>  2,316,858 </v>
      </c>
      <c r="D77" s="88" t="str">
        <f t="shared" si="1"/>
        <v>  27,030 </v>
      </c>
      <c r="E77" s="88" t="str">
        <f t="shared" si="2"/>
        <v>  124,008 </v>
      </c>
      <c r="F77" s="88" t="str">
        <f t="shared" si="6"/>
        <v>  151,038 </v>
      </c>
      <c r="G77" s="88" t="str">
        <f t="shared" si="4"/>
        <v>  2,192,850 </v>
      </c>
    </row>
    <row r="78">
      <c r="A78" s="87"/>
      <c r="B78" s="87" t="s">
        <v>395</v>
      </c>
      <c r="C78" s="88" t="str">
        <f t="shared" si="5"/>
        <v>  2,192,850 </v>
      </c>
      <c r="D78" s="88" t="str">
        <f t="shared" si="1"/>
        <v>  25,583 </v>
      </c>
      <c r="E78" s="88" t="str">
        <f t="shared" si="2"/>
        <v>  125,455 </v>
      </c>
      <c r="F78" s="88" t="str">
        <f t="shared" si="6"/>
        <v>  151,038 </v>
      </c>
      <c r="G78" s="88" t="str">
        <f t="shared" si="4"/>
        <v>  2,067,395 </v>
      </c>
    </row>
    <row r="79">
      <c r="A79" s="87"/>
      <c r="B79" s="87" t="s">
        <v>396</v>
      </c>
      <c r="C79" s="88" t="str">
        <f t="shared" si="5"/>
        <v>  2,067,395 </v>
      </c>
      <c r="D79" s="88" t="str">
        <f t="shared" si="1"/>
        <v>  24,120 </v>
      </c>
      <c r="E79" s="88" t="str">
        <f t="shared" si="2"/>
        <v>  126,919 </v>
      </c>
      <c r="F79" s="88" t="str">
        <f t="shared" si="6"/>
        <v>  151,038 </v>
      </c>
      <c r="G79" s="88" t="str">
        <f t="shared" si="4"/>
        <v>  1,940,477 </v>
      </c>
    </row>
    <row r="80">
      <c r="A80" s="87"/>
      <c r="B80" s="87" t="s">
        <v>397</v>
      </c>
      <c r="C80" s="88" t="str">
        <f t="shared" si="5"/>
        <v>  1,940,477 </v>
      </c>
      <c r="D80" s="88" t="str">
        <f t="shared" si="1"/>
        <v>  22,639 </v>
      </c>
      <c r="E80" s="88" t="str">
        <f t="shared" si="2"/>
        <v>  128,399 </v>
      </c>
      <c r="F80" s="88" t="str">
        <f t="shared" si="6"/>
        <v>  151,038 </v>
      </c>
      <c r="G80" s="88" t="str">
        <f t="shared" si="4"/>
        <v>  1,812,077 </v>
      </c>
    </row>
    <row r="81">
      <c r="A81" s="87"/>
      <c r="B81" s="87" t="s">
        <v>398</v>
      </c>
      <c r="C81" s="88" t="str">
        <f t="shared" si="5"/>
        <v>  1,812,077 </v>
      </c>
      <c r="D81" s="88" t="str">
        <f t="shared" si="1"/>
        <v>  21,141 </v>
      </c>
      <c r="E81" s="88" t="str">
        <f t="shared" si="2"/>
        <v>  129,897 </v>
      </c>
      <c r="F81" s="88" t="str">
        <f t="shared" si="6"/>
        <v>  151,038 </v>
      </c>
      <c r="G81" s="88" t="str">
        <f t="shared" si="4"/>
        <v>  1,682,180 </v>
      </c>
      <c r="H81" s="244"/>
      <c r="I81" s="244"/>
    </row>
    <row r="82">
      <c r="A82" s="87" t="s">
        <v>399</v>
      </c>
      <c r="B82" s="87" t="s">
        <v>400</v>
      </c>
      <c r="C82" s="88" t="str">
        <f t="shared" si="5"/>
        <v>  1,682,180 </v>
      </c>
      <c r="D82" s="88" t="str">
        <f t="shared" si="1"/>
        <v>  19,625 </v>
      </c>
      <c r="E82" s="88" t="str">
        <f t="shared" si="2"/>
        <v>  131,413 </v>
      </c>
      <c r="F82" s="88" t="str">
        <f t="shared" si="6"/>
        <v>  151,038 </v>
      </c>
      <c r="G82" s="88" t="str">
        <f t="shared" si="4"/>
        <v>  1,550,768 </v>
      </c>
    </row>
    <row r="83">
      <c r="A83" s="87"/>
      <c r="B83" s="87" t="s">
        <v>401</v>
      </c>
      <c r="C83" s="88" t="str">
        <f t="shared" si="5"/>
        <v>  1,550,768 </v>
      </c>
      <c r="D83" s="88" t="str">
        <f t="shared" si="1"/>
        <v>  18,092 </v>
      </c>
      <c r="E83" s="88" t="str">
        <f t="shared" si="2"/>
        <v>  132,946 </v>
      </c>
      <c r="F83" s="88" t="str">
        <f t="shared" si="6"/>
        <v>  151,038 </v>
      </c>
      <c r="G83" s="88" t="str">
        <f t="shared" si="4"/>
        <v>  1,417,822 </v>
      </c>
    </row>
    <row r="84">
      <c r="A84" s="87"/>
      <c r="B84" s="87" t="s">
        <v>402</v>
      </c>
      <c r="C84" s="88" t="str">
        <f t="shared" si="5"/>
        <v>  1,417,822 </v>
      </c>
      <c r="D84" s="88" t="str">
        <f t="shared" si="1"/>
        <v>  16,541 </v>
      </c>
      <c r="E84" s="88" t="str">
        <f t="shared" si="2"/>
        <v>  134,497 </v>
      </c>
      <c r="F84" s="88" t="str">
        <f t="shared" si="6"/>
        <v>  151,038 </v>
      </c>
      <c r="G84" s="88" t="str">
        <f t="shared" si="4"/>
        <v>  1,283,325 </v>
      </c>
    </row>
    <row r="85">
      <c r="A85" s="87"/>
      <c r="B85" s="87" t="s">
        <v>403</v>
      </c>
      <c r="C85" s="88" t="str">
        <f t="shared" si="5"/>
        <v>  1,283,325 </v>
      </c>
      <c r="D85" s="88" t="str">
        <f t="shared" si="1"/>
        <v>  14,972 </v>
      </c>
      <c r="E85" s="88" t="str">
        <f t="shared" si="2"/>
        <v>  136,066 </v>
      </c>
      <c r="F85" s="88" t="str">
        <f t="shared" si="6"/>
        <v>  151,038 </v>
      </c>
      <c r="G85" s="88" t="str">
        <f t="shared" si="4"/>
        <v>  1,147,259 </v>
      </c>
    </row>
    <row r="86">
      <c r="A86" s="87"/>
      <c r="B86" s="87" t="s">
        <v>404</v>
      </c>
      <c r="C86" s="88" t="str">
        <f t="shared" si="5"/>
        <v>  1,147,259 </v>
      </c>
      <c r="D86" s="88" t="str">
        <f t="shared" si="1"/>
        <v>  13,385 </v>
      </c>
      <c r="E86" s="88" t="str">
        <f t="shared" si="2"/>
        <v>  137,653 </v>
      </c>
      <c r="F86" s="88" t="str">
        <f t="shared" si="6"/>
        <v>  151,038 </v>
      </c>
      <c r="G86" s="88" t="str">
        <f t="shared" si="4"/>
        <v>  1,009,605 </v>
      </c>
    </row>
    <row r="87">
      <c r="A87" s="87"/>
      <c r="B87" s="87" t="s">
        <v>405</v>
      </c>
      <c r="C87" s="88" t="str">
        <f t="shared" si="5"/>
        <v>  1,009,605 </v>
      </c>
      <c r="D87" s="88" t="str">
        <f t="shared" si="1"/>
        <v>  11,779 </v>
      </c>
      <c r="E87" s="88" t="str">
        <f t="shared" si="2"/>
        <v>  139,259 </v>
      </c>
      <c r="F87" s="88" t="str">
        <f t="shared" si="6"/>
        <v>  151,038 </v>
      </c>
      <c r="G87" s="88" t="str">
        <f t="shared" si="4"/>
        <v>  870,346 </v>
      </c>
    </row>
    <row r="88">
      <c r="A88" s="87"/>
      <c r="B88" s="87" t="s">
        <v>406</v>
      </c>
      <c r="C88" s="88" t="str">
        <f t="shared" si="5"/>
        <v>  870,346 </v>
      </c>
      <c r="D88" s="88" t="str">
        <f t="shared" si="1"/>
        <v>  10,154 </v>
      </c>
      <c r="E88" s="88" t="str">
        <f t="shared" si="2"/>
        <v>  140,884 </v>
      </c>
      <c r="F88" s="88" t="str">
        <f t="shared" si="6"/>
        <v>  151,038 </v>
      </c>
      <c r="G88" s="88" t="str">
        <f t="shared" si="4"/>
        <v>  729,462 </v>
      </c>
    </row>
    <row r="89">
      <c r="A89" s="87"/>
      <c r="B89" s="87" t="s">
        <v>407</v>
      </c>
      <c r="C89" s="88" t="str">
        <f t="shared" si="5"/>
        <v>  729,462 </v>
      </c>
      <c r="D89" s="88" t="str">
        <f t="shared" si="1"/>
        <v>  8,510 </v>
      </c>
      <c r="E89" s="88" t="str">
        <f t="shared" si="2"/>
        <v>  142,528 </v>
      </c>
      <c r="F89" s="88" t="str">
        <f t="shared" si="6"/>
        <v>  151,038 </v>
      </c>
      <c r="G89" s="88" t="str">
        <f t="shared" si="4"/>
        <v>  586,934 </v>
      </c>
    </row>
    <row r="90">
      <c r="A90" s="87"/>
      <c r="B90" s="87" t="s">
        <v>408</v>
      </c>
      <c r="C90" s="88" t="str">
        <f t="shared" si="5"/>
        <v>  586,934 </v>
      </c>
      <c r="D90" s="88" t="str">
        <f t="shared" si="1"/>
        <v>  6,848 </v>
      </c>
      <c r="E90" s="88" t="str">
        <f t="shared" si="2"/>
        <v>  144,191 </v>
      </c>
      <c r="F90" s="88" t="str">
        <f t="shared" si="6"/>
        <v>  151,038 </v>
      </c>
      <c r="G90" s="88" t="str">
        <f t="shared" si="4"/>
        <v>  442,744 </v>
      </c>
    </row>
    <row r="91">
      <c r="A91" s="87"/>
      <c r="B91" s="87" t="s">
        <v>409</v>
      </c>
      <c r="C91" s="88" t="str">
        <f t="shared" si="5"/>
        <v>  442,744 </v>
      </c>
      <c r="D91" s="88" t="str">
        <f t="shared" si="1"/>
        <v>  5,165 </v>
      </c>
      <c r="E91" s="88" t="str">
        <f t="shared" si="2"/>
        <v>  145,873 </v>
      </c>
      <c r="F91" s="88" t="str">
        <f t="shared" si="6"/>
        <v>  151,038 </v>
      </c>
      <c r="G91" s="88" t="str">
        <f t="shared" si="4"/>
        <v>  296,871 </v>
      </c>
    </row>
    <row r="92">
      <c r="A92" s="87"/>
      <c r="B92" s="87" t="s">
        <v>410</v>
      </c>
      <c r="C92" s="88" t="str">
        <f t="shared" si="5"/>
        <v>  296,871 </v>
      </c>
      <c r="D92" s="88" t="str">
        <f t="shared" si="1"/>
        <v>  3,463 </v>
      </c>
      <c r="E92" s="88" t="str">
        <f t="shared" si="2"/>
        <v>  147,575 </v>
      </c>
      <c r="F92" s="88" t="str">
        <f t="shared" si="6"/>
        <v>  151,038 </v>
      </c>
      <c r="G92" s="88" t="str">
        <f t="shared" si="4"/>
        <v>  149,296 </v>
      </c>
    </row>
    <row r="93">
      <c r="A93" s="87"/>
      <c r="B93" s="87" t="s">
        <v>411</v>
      </c>
      <c r="C93" s="88" t="str">
        <f t="shared" si="5"/>
        <v>  149,296 </v>
      </c>
      <c r="D93" s="88" t="str">
        <f t="shared" si="1"/>
        <v>  1,742 </v>
      </c>
      <c r="E93" s="88" t="str">
        <f t="shared" si="2"/>
        <v>  149,296 </v>
      </c>
      <c r="F93" s="88" t="str">
        <f t="shared" si="6"/>
        <v>  151,038 </v>
      </c>
      <c r="G93" s="88" t="str">
        <f t="shared" si="4"/>
        <v>  0 </v>
      </c>
    </row>
    <row r="94">
      <c r="A94" s="93"/>
      <c r="B94" s="93"/>
      <c r="C94" s="93"/>
      <c r="D94" s="126" t="str">
        <f t="shared" ref="D94:E94" si="7">SUM(D10:D93)</f>
        <v>4613022.11</v>
      </c>
      <c r="E94" s="126" t="str">
        <f t="shared" si="7"/>
        <v>7707474.00</v>
      </c>
      <c r="F94" s="93"/>
      <c r="G94" s="93"/>
    </row>
    <row r="95" ht="39.75" customHeight="1">
      <c r="A95" s="245" t="s">
        <v>412</v>
      </c>
    </row>
    <row r="96">
      <c r="A96" t="s">
        <v>413</v>
      </c>
    </row>
    <row r="97">
      <c r="A97">
        <v>1.0</v>
      </c>
      <c r="B97" t="s">
        <v>414</v>
      </c>
    </row>
    <row r="98">
      <c r="A98">
        <v>2.0</v>
      </c>
      <c r="B98" t="s">
        <v>415</v>
      </c>
    </row>
  </sheetData>
  <mergeCells count="2">
    <mergeCell ref="A2:G2"/>
    <mergeCell ref="A95:H95"/>
  </mergeCells>
  <printOptions/>
  <pageMargins bottom="0.75" footer="0.0" header="0.0" left="0.7" right="0.7" top="0.75"/>
  <pageSetup scale="5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7.57"/>
    <col customWidth="1" min="3" max="3" width="28.57"/>
    <col customWidth="1" min="4" max="4" width="11.71"/>
    <col customWidth="1" min="5" max="6" width="12.57"/>
    <col customWidth="1" min="7" max="7" width="14.71"/>
    <col customWidth="1" min="8" max="8" width="13.71"/>
    <col customWidth="1" min="9" max="9" width="17.0"/>
    <col customWidth="1" min="10" max="10" width="16.71"/>
    <col customWidth="1" min="11" max="11" width="14.0"/>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1"/>
    <row r="2">
      <c r="C2" s="25" t="s">
        <v>416</v>
      </c>
      <c r="L2" s="246"/>
    </row>
    <row r="3"/>
    <row r="4">
      <c r="C4" s="97" t="s">
        <v>156</v>
      </c>
      <c r="D4" s="97"/>
      <c r="E4" s="98" t="s">
        <v>137</v>
      </c>
      <c r="F4" s="98" t="s">
        <v>138</v>
      </c>
      <c r="G4" s="98" t="s">
        <v>139</v>
      </c>
      <c r="H4" s="98" t="s">
        <v>140</v>
      </c>
      <c r="I4" s="98" t="s">
        <v>141</v>
      </c>
      <c r="J4" s="98" t="s">
        <v>142</v>
      </c>
      <c r="K4" s="98" t="s">
        <v>143</v>
      </c>
      <c r="L4" s="93"/>
      <c r="M4" s="93"/>
      <c r="N4" s="247"/>
      <c r="O4" s="247"/>
      <c r="P4" s="247"/>
      <c r="Q4" s="247"/>
      <c r="R4" s="247"/>
      <c r="S4" s="247"/>
      <c r="T4" s="247"/>
      <c r="U4" s="247"/>
      <c r="V4" s="247"/>
    </row>
    <row r="5">
      <c r="C5" s="87" t="s">
        <v>417</v>
      </c>
      <c r="D5" s="87"/>
      <c r="E5" s="87">
        <v>0.0</v>
      </c>
      <c r="F5" s="87"/>
      <c r="G5" s="87"/>
      <c r="H5" s="87"/>
      <c r="I5" s="87"/>
      <c r="J5" s="87"/>
      <c r="K5" s="87"/>
      <c r="L5" s="93"/>
      <c r="M5" s="93"/>
      <c r="N5" s="248" t="s">
        <v>418</v>
      </c>
      <c r="O5" s="183"/>
      <c r="P5" s="183"/>
      <c r="Q5" s="183"/>
      <c r="R5" s="184"/>
      <c r="S5" s="247"/>
      <c r="T5" s="247"/>
      <c r="U5" s="248" t="s">
        <v>419</v>
      </c>
      <c r="V5" s="184"/>
    </row>
    <row r="6">
      <c r="C6" s="87" t="s">
        <v>420</v>
      </c>
      <c r="D6" s="92"/>
      <c r="E6" s="87"/>
      <c r="F6" s="88" t="str">
        <f t="shared" ref="F6:K6" si="1">E15</f>
        <v>  -   </v>
      </c>
      <c r="G6" s="88" t="str">
        <f t="shared" si="1"/>
        <v>  -   </v>
      </c>
      <c r="H6" s="88" t="str">
        <f t="shared" si="1"/>
        <v>  -   </v>
      </c>
      <c r="I6" s="88" t="str">
        <f t="shared" si="1"/>
        <v>  -   </v>
      </c>
      <c r="J6" s="88" t="str">
        <f t="shared" si="1"/>
        <v>  -   </v>
      </c>
      <c r="K6" s="88" t="str">
        <f t="shared" si="1"/>
        <v>  -   </v>
      </c>
      <c r="L6" s="93"/>
      <c r="M6" s="93"/>
      <c r="N6" s="249" t="s">
        <v>421</v>
      </c>
      <c r="O6" s="250"/>
      <c r="P6" s="250"/>
      <c r="Q6" s="250"/>
      <c r="R6" s="51"/>
      <c r="S6" s="247"/>
      <c r="T6" s="247"/>
      <c r="U6" s="249" t="s">
        <v>421</v>
      </c>
      <c r="V6" s="51"/>
    </row>
    <row r="7">
      <c r="C7" s="87" t="s">
        <v>422</v>
      </c>
      <c r="D7" s="92"/>
      <c r="E7" s="87"/>
      <c r="F7" s="88" t="str">
        <f t="shared" ref="F7:K7" si="2">E16</f>
        <v>  2,064,405 </v>
      </c>
      <c r="G7" s="88" t="str">
        <f t="shared" si="2"/>
        <v>  2,384,388 </v>
      </c>
      <c r="H7" s="88" t="str">
        <f t="shared" si="2"/>
        <v>  2,731,208 </v>
      </c>
      <c r="I7" s="88" t="str">
        <f t="shared" si="2"/>
        <v>  3,106,750 </v>
      </c>
      <c r="J7" s="88" t="str">
        <f t="shared" si="2"/>
        <v>  3,513,017 </v>
      </c>
      <c r="K7" s="88" t="str">
        <f t="shared" si="2"/>
        <v>  3,952,144 </v>
      </c>
      <c r="L7" s="93"/>
      <c r="M7" s="93"/>
      <c r="N7" s="251" t="s">
        <v>156</v>
      </c>
      <c r="O7" s="251" t="s">
        <v>423</v>
      </c>
      <c r="P7" s="251" t="s">
        <v>424</v>
      </c>
      <c r="Q7" s="251" t="s">
        <v>425</v>
      </c>
      <c r="R7" s="251" t="s">
        <v>426</v>
      </c>
      <c r="S7" s="247"/>
      <c r="T7" s="247"/>
      <c r="U7" s="252" t="s">
        <v>156</v>
      </c>
      <c r="V7" s="252" t="s">
        <v>427</v>
      </c>
    </row>
    <row r="8">
      <c r="C8" s="87" t="s">
        <v>418</v>
      </c>
      <c r="D8" s="92"/>
      <c r="E8" s="87"/>
      <c r="F8" s="88" t="str">
        <f t="shared" ref="F8:K8" si="3">E17</f>
        <v>  792,250 </v>
      </c>
      <c r="G8" s="88" t="str">
        <f t="shared" si="3"/>
        <v>  914,838 </v>
      </c>
      <c r="H8" s="88" t="str">
        <f t="shared" si="3"/>
        <v>  1,047,705 </v>
      </c>
      <c r="I8" s="88" t="str">
        <f t="shared" si="3"/>
        <v>  1,191,572 </v>
      </c>
      <c r="J8" s="88" t="str">
        <f t="shared" si="3"/>
        <v>  1,347,206 </v>
      </c>
      <c r="K8" s="88" t="str">
        <f t="shared" si="3"/>
        <v>  1,515,424 </v>
      </c>
      <c r="L8" s="93"/>
      <c r="M8" s="93"/>
      <c r="N8" s="253" t="s">
        <v>428</v>
      </c>
      <c r="O8" s="254" t="str">
        <f>'13.Facility 2 Grain Processing'!C149</f>
        <v/>
      </c>
      <c r="P8" s="254" t="str">
        <f>'13.Facility 2 Grain Processing'!C150</f>
        <v>  6,000 </v>
      </c>
      <c r="Q8" s="254" t="str">
        <f>'13.Facility 2 Grain Processing'!C151</f>
        <v>  5,600 </v>
      </c>
      <c r="R8" s="254" t="str">
        <f>'13.Facility 2 Grain Processing'!C152</f>
        <v>  -   </v>
      </c>
      <c r="S8" s="247"/>
      <c r="T8" s="247"/>
      <c r="U8" s="253" t="s">
        <v>429</v>
      </c>
      <c r="V8" s="254" t="str">
        <f>'17.Facility 6 Horti Processing '!C163</f>
        <v>  -   </v>
      </c>
    </row>
    <row r="9">
      <c r="C9" s="87" t="str">
        <f>C18</f>
        <v>Horticulture Processing </v>
      </c>
      <c r="D9" s="87"/>
      <c r="E9" s="87"/>
      <c r="F9" s="88" t="str">
        <f t="shared" ref="F9:K9" si="4">E18</f>
        <v>  -   </v>
      </c>
      <c r="G9" s="88" t="str">
        <f t="shared" si="4"/>
        <v>  -   </v>
      </c>
      <c r="H9" s="88" t="str">
        <f t="shared" si="4"/>
        <v>  -   </v>
      </c>
      <c r="I9" s="88" t="str">
        <f t="shared" si="4"/>
        <v>  -   </v>
      </c>
      <c r="J9" s="88" t="str">
        <f t="shared" si="4"/>
        <v>  -   </v>
      </c>
      <c r="K9" s="88" t="str">
        <f t="shared" si="4"/>
        <v>  -   </v>
      </c>
      <c r="L9" s="93"/>
      <c r="M9" s="93"/>
      <c r="N9" s="253" t="str">
        <f>'13.Facility 2 Grain Processing'!A153</f>
        <v>Oil (Liters)</v>
      </c>
      <c r="O9" s="253" t="str">
        <f>('13.Facility 2 Grain Processing'!B153*'13.Facility 2 Grain Processing'!C153/1000)*100</f>
        <v>210</v>
      </c>
      <c r="P9" s="253" t="str">
        <f t="shared" ref="P9:R9" si="5">O9</f>
        <v>210</v>
      </c>
      <c r="Q9" s="253" t="str">
        <f t="shared" si="5"/>
        <v>210</v>
      </c>
      <c r="R9" s="253" t="str">
        <f t="shared" si="5"/>
        <v>210</v>
      </c>
      <c r="S9" s="247"/>
      <c r="T9" s="247"/>
      <c r="U9" s="253" t="str">
        <f>'17.Facility 6 Horti Processing '!A164</f>
        <v>Other Consumbales</v>
      </c>
      <c r="V9" s="255" t="str">
        <f>'17.Facility 6 Horti Processing '!C164</f>
        <v>0.00</v>
      </c>
    </row>
    <row r="10">
      <c r="C10" s="87"/>
      <c r="D10" s="87"/>
      <c r="E10" s="87"/>
      <c r="F10" s="88"/>
      <c r="G10" s="88"/>
      <c r="H10" s="88"/>
      <c r="I10" s="88"/>
      <c r="J10" s="88"/>
      <c r="K10" s="88"/>
      <c r="L10" s="93"/>
      <c r="M10" s="93"/>
      <c r="N10" s="253" t="str">
        <f>'13.Facility 2 Grain Processing'!A154</f>
        <v>Daily Labour </v>
      </c>
      <c r="O10" s="256" t="str">
        <f>('13.Facility 2 Grain Processing'!B154*'13.Facility 2 Grain Processing'!C154)/('13.Facility 2 Grain Processing'!B5*'13.Facility 2 Grain Processing'!B6)</f>
        <v>93.8</v>
      </c>
      <c r="P10" s="256" t="str">
        <f t="shared" ref="P10:R10" si="6">O10</f>
        <v>93.8</v>
      </c>
      <c r="Q10" s="256" t="str">
        <f t="shared" si="6"/>
        <v>93.8</v>
      </c>
      <c r="R10" s="256" t="str">
        <f t="shared" si="6"/>
        <v>93.8</v>
      </c>
      <c r="S10" s="247"/>
      <c r="T10" s="247"/>
      <c r="U10" s="253" t="str">
        <f>'17.Facility 6 Horti Processing '!A165</f>
        <v>Daily Labour </v>
      </c>
      <c r="V10" s="255" t="str">
        <f>'17.Facility 6 Horti Processing '!B165*'17.Facility 6 Horti Processing '!C165/('17.Facility 6 Horti Processing '!B5*'17.Facility 6 Horti Processing '!B6)</f>
        <v>0.00</v>
      </c>
    </row>
    <row r="11">
      <c r="C11" s="87"/>
      <c r="D11" s="87"/>
      <c r="E11" s="87"/>
      <c r="F11" s="88"/>
      <c r="G11" s="88"/>
      <c r="H11" s="88"/>
      <c r="I11" s="88"/>
      <c r="J11" s="88"/>
      <c r="K11" s="88"/>
      <c r="L11" s="93"/>
      <c r="M11" s="93"/>
      <c r="N11" s="253" t="str">
        <f>'13.Facility 2 Grain Processing'!A155</f>
        <v>Electricity Charges</v>
      </c>
      <c r="O11" s="256" t="str">
        <f>('13.Facility 2 Grain Processing'!B155*'13.Facility 2 Grain Processing'!C155)/('13.Facility 2 Grain Processing'!B5*'13.Facility 2 Grain Processing'!B6)</f>
        <v>19.7</v>
      </c>
      <c r="P11" s="256" t="str">
        <f t="shared" ref="P11:R11" si="7">O11</f>
        <v>19.7</v>
      </c>
      <c r="Q11" s="256" t="str">
        <f t="shared" si="7"/>
        <v>19.7</v>
      </c>
      <c r="R11" s="256" t="str">
        <f t="shared" si="7"/>
        <v>19.7</v>
      </c>
      <c r="S11" s="247"/>
      <c r="T11" s="247"/>
      <c r="U11" s="253" t="str">
        <f>'17.Facility 6 Horti Processing '!A166</f>
        <v>Electricity Charges</v>
      </c>
      <c r="V11" s="253" t="str">
        <f>'17.Facility 6 Horti Processing '!B166*'17.Facility 6 Horti Processing '!C166/('17.Facility 6 Horti Processing '!B5*'17.Facility 6 Horti Processing '!B6)</f>
        <v>0</v>
      </c>
    </row>
    <row r="12">
      <c r="C12" s="87" t="s">
        <v>88</v>
      </c>
      <c r="D12" s="87"/>
      <c r="E12" s="88"/>
      <c r="F12" s="88" t="str">
        <f t="shared" ref="F12:K12" si="8">SUM(F6:F11)</f>
        <v>  2,856,655 </v>
      </c>
      <c r="G12" s="88" t="str">
        <f t="shared" si="8"/>
        <v>  3,299,227 </v>
      </c>
      <c r="H12" s="88" t="str">
        <f t="shared" si="8"/>
        <v>  3,778,914 </v>
      </c>
      <c r="I12" s="88" t="str">
        <f t="shared" si="8"/>
        <v>  4,298,322 </v>
      </c>
      <c r="J12" s="88" t="str">
        <f t="shared" si="8"/>
        <v>  4,860,223 </v>
      </c>
      <c r="K12" s="88" t="str">
        <f t="shared" si="8"/>
        <v>  5,467,568 </v>
      </c>
      <c r="L12" s="93"/>
      <c r="M12" s="93"/>
      <c r="N12" s="253" t="str">
        <f>'13.Facility 2 Grain Processing'!A156</f>
        <v>Loading/Unloading Charges</v>
      </c>
      <c r="O12" s="253" t="str">
        <f>'13.Facility 2 Grain Processing'!C156*2</f>
        <v>40</v>
      </c>
      <c r="P12" s="253" t="str">
        <f t="shared" ref="P12:R12" si="9">O12</f>
        <v>40</v>
      </c>
      <c r="Q12" s="253" t="str">
        <f t="shared" si="9"/>
        <v>40</v>
      </c>
      <c r="R12" s="253" t="str">
        <f t="shared" si="9"/>
        <v>40</v>
      </c>
      <c r="S12" s="247"/>
      <c r="T12" s="247"/>
      <c r="U12" s="253" t="str">
        <f>'17.Facility 6 Horti Processing '!A167</f>
        <v>Loading/Unloading Charges</v>
      </c>
      <c r="V12" s="253" t="str">
        <f>'17.Facility 6 Horti Processing '!C167</f>
        <v>0</v>
      </c>
    </row>
    <row r="13">
      <c r="C13" s="87"/>
      <c r="D13" s="87"/>
      <c r="E13" s="87"/>
      <c r="F13" s="88"/>
      <c r="G13" s="88"/>
      <c r="H13" s="88"/>
      <c r="I13" s="88"/>
      <c r="J13" s="88"/>
      <c r="K13" s="88"/>
      <c r="L13" s="93"/>
      <c r="M13" s="93"/>
      <c r="N13" s="253" t="str">
        <f>'13.Facility 2 Grain Processing'!A157</f>
        <v>packaging Exp</v>
      </c>
      <c r="O13" s="253" t="str">
        <f>'13.Facility 2 Grain Processing'!C157*2</f>
        <v>60</v>
      </c>
      <c r="P13" s="253" t="str">
        <f t="shared" ref="P13:R13" si="10">O13</f>
        <v>60</v>
      </c>
      <c r="Q13" s="253" t="str">
        <f t="shared" si="10"/>
        <v>60</v>
      </c>
      <c r="R13" s="253" t="str">
        <f t="shared" si="10"/>
        <v>60</v>
      </c>
      <c r="S13" s="247"/>
      <c r="T13" s="247"/>
      <c r="U13" s="253" t="str">
        <f>'17.Facility 6 Horti Processing '!A168</f>
        <v>packaging Exp</v>
      </c>
      <c r="V13" s="42" t="str">
        <f>'17.Facility 6 Horti Processing '!C168*100</f>
        <v>0</v>
      </c>
    </row>
    <row r="14">
      <c r="C14" s="90" t="s">
        <v>430</v>
      </c>
      <c r="D14" s="87"/>
      <c r="E14" s="87"/>
      <c r="F14" s="88"/>
      <c r="G14" s="88"/>
      <c r="H14" s="88"/>
      <c r="I14" s="88"/>
      <c r="J14" s="88"/>
      <c r="K14" s="88"/>
      <c r="L14" s="93"/>
      <c r="M14" s="93"/>
      <c r="N14" s="253"/>
      <c r="O14" s="42"/>
      <c r="P14" s="42"/>
      <c r="Q14" s="42"/>
      <c r="R14" s="42"/>
      <c r="S14" s="247"/>
      <c r="T14" s="247"/>
      <c r="U14" s="42"/>
      <c r="V14" s="42"/>
    </row>
    <row r="15">
      <c r="C15" s="87" t="str">
        <f t="shared" ref="C15:C17" si="11">C6</f>
        <v>Agri Input</v>
      </c>
      <c r="D15" s="92">
        <v>0.0</v>
      </c>
      <c r="E15" s="88" t="str">
        <f>SUM('16.Facility 5 Agri Input'!D197:D252)*$D$15</f>
        <v>  -   </v>
      </c>
      <c r="F15" s="88" t="str">
        <f>SUM('16.Facility 5 Agri Input'!E197:E252)*$D$15</f>
        <v>  -   </v>
      </c>
      <c r="G15" s="88" t="str">
        <f>SUM('16.Facility 5 Agri Input'!F197:F252)*$D$15</f>
        <v>  -   </v>
      </c>
      <c r="H15" s="88" t="str">
        <f>SUM('16.Facility 5 Agri Input'!G197:G252)*$D$15</f>
        <v>  -   </v>
      </c>
      <c r="I15" s="88" t="str">
        <f>SUM('16.Facility 5 Agri Input'!H197:H252)*$D$15</f>
        <v>  -   </v>
      </c>
      <c r="J15" s="88" t="str">
        <f>SUM('16.Facility 5 Agri Input'!I197:I252)*$D$15</f>
        <v>  -   </v>
      </c>
      <c r="K15" s="88" t="str">
        <f>SUM('16.Facility 5 Agri Input'!J197:J252)*$D$15</f>
        <v>  -   </v>
      </c>
      <c r="L15" s="93"/>
      <c r="M15" s="93"/>
      <c r="N15" s="42"/>
      <c r="O15" s="42"/>
      <c r="P15" s="42"/>
      <c r="Q15" s="42"/>
      <c r="R15" s="42"/>
      <c r="U15" s="42"/>
      <c r="V15" s="42"/>
    </row>
    <row r="16">
      <c r="C16" s="87" t="str">
        <f t="shared" si="11"/>
        <v>Trading</v>
      </c>
      <c r="D16" s="92">
        <v>0.02</v>
      </c>
      <c r="E16" s="88" t="str">
        <f>SUM('12.Facility 1 - Trading'!D233:D284)*$D$16</f>
        <v>  2,064,405 </v>
      </c>
      <c r="F16" s="88" t="str">
        <f>SUM('12.Facility 1 - Trading'!E233:E284)*$D$16</f>
        <v>  2,384,388 </v>
      </c>
      <c r="G16" s="88" t="str">
        <f>SUM('12.Facility 1 - Trading'!F233:F284)*$D$16</f>
        <v>  2,731,208 </v>
      </c>
      <c r="H16" s="88" t="str">
        <f>SUM('12.Facility 1 - Trading'!G233:G284)*$D$16</f>
        <v>  3,106,750 </v>
      </c>
      <c r="I16" s="88" t="str">
        <f>SUM('12.Facility 1 - Trading'!H233:H284)*$D$16</f>
        <v>  3,513,017 </v>
      </c>
      <c r="J16" s="88" t="str">
        <f>SUM('12.Facility 1 - Trading'!I233:I284)*$D$16</f>
        <v>  3,952,144 </v>
      </c>
      <c r="K16" s="88" t="str">
        <f>SUM('12.Facility 1 - Trading'!J233:J284)*$D$16</f>
        <v>  4,426,401 </v>
      </c>
      <c r="L16" s="93"/>
      <c r="M16" s="93"/>
      <c r="N16" s="251" t="s">
        <v>431</v>
      </c>
      <c r="O16" s="257" t="str">
        <f t="shared" ref="O16:R16" si="12">SUM(O8:O13)</f>
        <v>423.44</v>
      </c>
      <c r="P16" s="257" t="str">
        <f t="shared" si="12"/>
        <v>6423.44</v>
      </c>
      <c r="Q16" s="257" t="str">
        <f t="shared" si="12"/>
        <v>6023.44</v>
      </c>
      <c r="R16" s="257" t="str">
        <f t="shared" si="12"/>
        <v>423.44</v>
      </c>
      <c r="U16" s="251" t="s">
        <v>88</v>
      </c>
      <c r="V16" s="257" t="str">
        <f>SUM(V8:V15)</f>
        <v>0.00</v>
      </c>
    </row>
    <row r="17">
      <c r="C17" s="87" t="str">
        <f t="shared" si="11"/>
        <v>Grain Processing - Dal Mill</v>
      </c>
      <c r="D17" s="92">
        <v>0.02</v>
      </c>
      <c r="E17" s="88" t="str">
        <f>SUM('13.Facility 2 Grain Processing'!D149:D159)*$D$17</f>
        <v>  792,250 </v>
      </c>
      <c r="F17" s="88" t="str">
        <f>SUM('13.Facility 2 Grain Processing'!E149:E159)*$D$17</f>
        <v>  914,838 </v>
      </c>
      <c r="G17" s="88" t="str">
        <f>SUM('13.Facility 2 Grain Processing'!F149:F159)*$D$17</f>
        <v>  1,047,705 </v>
      </c>
      <c r="H17" s="88" t="str">
        <f>SUM('13.Facility 2 Grain Processing'!G149:G159)*$D$17</f>
        <v>  1,191,572 </v>
      </c>
      <c r="I17" s="88" t="str">
        <f>SUM('13.Facility 2 Grain Processing'!H149:H159)*$D$17</f>
        <v>  1,347,206 </v>
      </c>
      <c r="J17" s="88" t="str">
        <f>SUM('13.Facility 2 Grain Processing'!I149:I159)*$D$17</f>
        <v>  1,515,424 </v>
      </c>
      <c r="K17" s="88" t="str">
        <f>SUM('13.Facility 2 Grain Processing'!J149:J159)*$D$17</f>
        <v>  1,697,096 </v>
      </c>
      <c r="L17" s="93"/>
      <c r="M17" s="93"/>
    </row>
    <row r="18">
      <c r="C18" s="87" t="s">
        <v>432</v>
      </c>
      <c r="D18" s="92">
        <v>0.02</v>
      </c>
      <c r="E18" s="88" t="str">
        <f>SUM('17.Facility 6 Horti Processing '!D163:D168)*$D$18</f>
        <v>  -   </v>
      </c>
      <c r="F18" s="88" t="str">
        <f>SUM('17.Facility 6 Horti Processing '!E163:E168)*$D$18</f>
        <v>  -   </v>
      </c>
      <c r="G18" s="88" t="str">
        <f>SUM('17.Facility 6 Horti Processing '!F163:F168)*$D$18</f>
        <v>  -   </v>
      </c>
      <c r="H18" s="88" t="str">
        <f>SUM('17.Facility 6 Horti Processing '!G163:G168)*$D$18</f>
        <v>  -   </v>
      </c>
      <c r="I18" s="88" t="str">
        <f>SUM('17.Facility 6 Horti Processing '!H163:H168)*$D$18</f>
        <v>  -   </v>
      </c>
      <c r="J18" s="88" t="str">
        <f>SUM('17.Facility 6 Horti Processing '!I163:I168)*$D$18</f>
        <v>  -   </v>
      </c>
      <c r="K18" s="88" t="str">
        <f>SUM('17.Facility 6 Horti Processing '!J163:J168)*$D$18</f>
        <v>  -   </v>
      </c>
      <c r="L18" s="93"/>
      <c r="M18" s="93"/>
    </row>
    <row r="19">
      <c r="C19" s="87"/>
      <c r="D19" s="92"/>
      <c r="E19" s="88"/>
      <c r="F19" s="88"/>
      <c r="G19" s="88"/>
      <c r="H19" s="88"/>
      <c r="I19" s="88"/>
      <c r="J19" s="88"/>
      <c r="K19" s="88"/>
      <c r="L19" s="93"/>
      <c r="M19" s="93"/>
    </row>
    <row r="20">
      <c r="C20" s="87"/>
      <c r="D20" s="87"/>
      <c r="E20" s="87"/>
      <c r="F20" s="88"/>
      <c r="G20" s="88"/>
      <c r="H20" s="88"/>
      <c r="I20" s="88"/>
      <c r="J20" s="88"/>
      <c r="K20" s="88"/>
      <c r="L20" s="93"/>
      <c r="M20" s="93"/>
    </row>
    <row r="21">
      <c r="C21" s="87" t="s">
        <v>88</v>
      </c>
      <c r="D21" s="87"/>
      <c r="E21" s="88" t="str">
        <f t="shared" ref="E21:K21" si="13">SUM(E15:E20)</f>
        <v>  2,856,655 </v>
      </c>
      <c r="F21" s="88" t="str">
        <f t="shared" si="13"/>
        <v>  3,299,227 </v>
      </c>
      <c r="G21" s="88" t="str">
        <f t="shared" si="13"/>
        <v>  3,778,914 </v>
      </c>
      <c r="H21" s="88" t="str">
        <f t="shared" si="13"/>
        <v>  4,298,322 </v>
      </c>
      <c r="I21" s="88" t="str">
        <f t="shared" si="13"/>
        <v>  4,860,223 </v>
      </c>
      <c r="J21" s="88" t="str">
        <f t="shared" si="13"/>
        <v>  5,467,568 </v>
      </c>
      <c r="K21" s="88" t="str">
        <f t="shared" si="13"/>
        <v>  6,123,498 </v>
      </c>
      <c r="L21" s="93"/>
      <c r="M21" s="93"/>
    </row>
    <row r="22">
      <c r="C22" s="93"/>
      <c r="D22" s="93"/>
      <c r="E22" s="93"/>
      <c r="F22" s="93"/>
      <c r="G22" s="93"/>
      <c r="H22" s="93"/>
      <c r="I22" s="93"/>
      <c r="J22" s="93"/>
      <c r="K22" s="93"/>
      <c r="L22" s="93"/>
      <c r="M22" s="93"/>
    </row>
    <row r="23" ht="40.5" customHeight="1">
      <c r="A23" s="105" t="s">
        <v>433</v>
      </c>
      <c r="L23" s="258"/>
      <c r="M23" s="258"/>
      <c r="N23" s="258"/>
      <c r="O23" s="259"/>
      <c r="P23" s="259"/>
      <c r="Q23" s="259"/>
      <c r="R23" s="259"/>
    </row>
    <row r="24">
      <c r="A24" t="s">
        <v>413</v>
      </c>
    </row>
    <row r="25">
      <c r="A25">
        <v>1.0</v>
      </c>
      <c r="B25" t="s">
        <v>434</v>
      </c>
    </row>
    <row r="28">
      <c r="B28" s="25" t="s">
        <v>435</v>
      </c>
    </row>
    <row r="30">
      <c r="B30" s="260" t="s">
        <v>81</v>
      </c>
      <c r="C30" s="260" t="s">
        <v>156</v>
      </c>
      <c r="D30" s="261" t="s">
        <v>436</v>
      </c>
      <c r="E30" s="262" t="s">
        <v>83</v>
      </c>
      <c r="F30" s="250"/>
      <c r="G30" s="250"/>
      <c r="H30" s="250"/>
      <c r="I30" s="250"/>
      <c r="J30" s="250"/>
      <c r="K30" s="51"/>
    </row>
    <row r="31">
      <c r="B31" s="21"/>
      <c r="C31" s="21"/>
      <c r="D31" s="21"/>
      <c r="E31" s="142" t="s">
        <v>137</v>
      </c>
      <c r="F31" s="142" t="s">
        <v>138</v>
      </c>
      <c r="G31" s="142" t="s">
        <v>139</v>
      </c>
      <c r="H31" s="142" t="s">
        <v>140</v>
      </c>
      <c r="I31" s="142" t="s">
        <v>141</v>
      </c>
      <c r="J31" s="142" t="s">
        <v>142</v>
      </c>
      <c r="K31" s="142" t="s">
        <v>143</v>
      </c>
    </row>
    <row r="32">
      <c r="B32" s="263"/>
      <c r="C32" s="264"/>
      <c r="D32" s="264"/>
      <c r="E32" s="265"/>
      <c r="F32" s="265"/>
      <c r="G32" s="265"/>
      <c r="H32" s="265"/>
      <c r="I32" s="265"/>
      <c r="J32" s="265"/>
      <c r="K32" s="265"/>
    </row>
    <row r="33">
      <c r="B33" s="266" t="s">
        <v>19</v>
      </c>
      <c r="C33" s="267" t="s">
        <v>437</v>
      </c>
      <c r="D33" s="266"/>
      <c r="E33" s="268"/>
      <c r="F33" s="268"/>
      <c r="G33" s="268"/>
      <c r="H33" s="268"/>
      <c r="I33" s="268"/>
      <c r="J33" s="268"/>
      <c r="K33" s="268"/>
    </row>
    <row r="34">
      <c r="B34" s="269">
        <v>1.0</v>
      </c>
      <c r="C34" s="188" t="s">
        <v>420</v>
      </c>
      <c r="D34" s="266">
        <v>14.0</v>
      </c>
      <c r="E34" s="268" t="str">
        <f>('16.Facility 5 Agri Input'!D191/365)*$D$34</f>
        <v>  -   </v>
      </c>
      <c r="F34" s="268" t="str">
        <f>('16.Facility 5 Agri Input'!E191/365)*$D$34</f>
        <v>  -   </v>
      </c>
      <c r="G34" s="268" t="str">
        <f>('16.Facility 5 Agri Input'!F191/365)*$D$34</f>
        <v>  -   </v>
      </c>
      <c r="H34" s="268" t="str">
        <f>('16.Facility 5 Agri Input'!G191/365)*$D$34</f>
        <v>  -   </v>
      </c>
      <c r="I34" s="268" t="str">
        <f>('16.Facility 5 Agri Input'!H191/365)*$D$34</f>
        <v>  -   </v>
      </c>
      <c r="J34" s="268" t="str">
        <f>('16.Facility 5 Agri Input'!I191/365)*$D$34</f>
        <v>  -   </v>
      </c>
      <c r="K34" s="268" t="str">
        <f>('16.Facility 5 Agri Input'!J191/365)*$D$34</f>
        <v>  -   </v>
      </c>
    </row>
    <row r="35">
      <c r="B35" s="269">
        <v>2.0</v>
      </c>
      <c r="C35" s="188" t="s">
        <v>222</v>
      </c>
      <c r="D35" s="266">
        <v>14.0</v>
      </c>
      <c r="E35" s="268" t="str">
        <f>('15. Facility 4 Custom Hiring'!E39/365)*$D$35</f>
        <v>  -   </v>
      </c>
      <c r="F35" s="268" t="str">
        <f>('15. Facility 4 Custom Hiring'!F39/365)*$D$35</f>
        <v>  -   </v>
      </c>
      <c r="G35" s="268" t="str">
        <f>('15. Facility 4 Custom Hiring'!G39/365)*$D$35</f>
        <v>  -   </v>
      </c>
      <c r="H35" s="268" t="str">
        <f>('15. Facility 4 Custom Hiring'!H39/365)*$D$35</f>
        <v>  -   </v>
      </c>
      <c r="I35" s="268" t="str">
        <f>('15. Facility 4 Custom Hiring'!I39/365)*$D$35</f>
        <v>  -   </v>
      </c>
      <c r="J35" s="268" t="str">
        <f>('15. Facility 4 Custom Hiring'!J39/365)*$D$35</f>
        <v>  -   </v>
      </c>
      <c r="K35" s="268" t="str">
        <f>('15. Facility 4 Custom Hiring'!K39/365)*$D$35</f>
        <v>  -   </v>
      </c>
    </row>
    <row r="36">
      <c r="B36" s="269">
        <v>3.0</v>
      </c>
      <c r="C36" s="188" t="s">
        <v>231</v>
      </c>
      <c r="D36" s="266">
        <v>14.0</v>
      </c>
      <c r="E36" s="268" t="str">
        <f>('12.Facility 1 - Trading'!D229/365)*$D$36</f>
        <v>  4,028,030 </v>
      </c>
      <c r="F36" s="268" t="str">
        <f>('12.Facility 1 - Trading'!E229/365)*$D$36</f>
        <v>  4,736,172 </v>
      </c>
      <c r="G36" s="268" t="str">
        <f>('12.Facility 1 - Trading'!F229/365)*$D$36</f>
        <v>  5,425,869 </v>
      </c>
      <c r="H36" s="268" t="str">
        <f>('12.Facility 1 - Trading'!G229/365)*$D$36</f>
        <v>  6,172,696 </v>
      </c>
      <c r="I36" s="268" t="str">
        <f>('12.Facility 1 - Trading'!H229/365)*$D$36</f>
        <v>  6,980,641 </v>
      </c>
      <c r="J36" s="268" t="str">
        <f>('12.Facility 1 - Trading'!I229/365)*$D$36</f>
        <v>  7,853,949 </v>
      </c>
      <c r="K36" s="268" t="str">
        <f>('12.Facility 1 - Trading'!J229/365)*$D$36</f>
        <v>  8,797,136 </v>
      </c>
    </row>
    <row r="37">
      <c r="B37" s="269">
        <v>4.0</v>
      </c>
      <c r="C37" s="188" t="s">
        <v>438</v>
      </c>
      <c r="D37" s="266">
        <v>14.0</v>
      </c>
      <c r="E37" s="268" t="str">
        <f>('13.Facility 2 Grain Processing'!D145/365)*$D$37</f>
        <v>  1,674,540 </v>
      </c>
      <c r="F37" s="268" t="str">
        <f>('13.Facility 2 Grain Processing'!E145/365)*$D$37</f>
        <v>  1,943,569 </v>
      </c>
      <c r="G37" s="268" t="str">
        <f>('13.Facility 2 Grain Processing'!F145/365)*$D$37</f>
        <v>  2,225,365 </v>
      </c>
      <c r="H37" s="268" t="str">
        <f>('13.Facility 2 Grain Processing'!G145/365)*$D$37</f>
        <v>  2,531,432 </v>
      </c>
      <c r="I37" s="268" t="str">
        <f>('13.Facility 2 Grain Processing'!H145/365)*$D$37</f>
        <v>  2,862,542 </v>
      </c>
      <c r="J37" s="268" t="str">
        <f>('13.Facility 2 Grain Processing'!I145/365)*$D$37</f>
        <v>  3,220,435 </v>
      </c>
      <c r="K37" s="268" t="str">
        <f>('13.Facility 2 Grain Processing'!J145/365)*$D$37</f>
        <v>  3,606,960 </v>
      </c>
    </row>
    <row r="38">
      <c r="B38" s="269">
        <v>5.0</v>
      </c>
      <c r="C38" s="188" t="s">
        <v>439</v>
      </c>
      <c r="D38" s="266">
        <v>14.0</v>
      </c>
      <c r="E38" s="268" t="str">
        <f>('14. Facility 3 Warehouse'!D23/365)*$D$38</f>
        <v>  38,663 </v>
      </c>
      <c r="F38" s="268" t="str">
        <f>('14. Facility 3 Warehouse'!E23/365)*$D$38</f>
        <v>  43,496 </v>
      </c>
      <c r="G38" s="268" t="str">
        <f>('14. Facility 3 Warehouse'!F23/365)*$D$38</f>
        <v>  48,715 </v>
      </c>
      <c r="H38" s="268" t="str">
        <f>('14. Facility 3 Warehouse'!G23/365)*$D$38</f>
        <v>  54,348 </v>
      </c>
      <c r="I38" s="268" t="str">
        <f>('14. Facility 3 Warehouse'!H23/365)*$D$38</f>
        <v>  60,422 </v>
      </c>
      <c r="J38" s="268" t="str">
        <f>('14. Facility 3 Warehouse'!I23/365)*$D$38</f>
        <v>  66,968 </v>
      </c>
      <c r="K38" s="268" t="str">
        <f>('14. Facility 3 Warehouse'!J23/365)*$D$38</f>
        <v>  74,017 </v>
      </c>
    </row>
    <row r="39">
      <c r="B39" s="269">
        <v>6.0</v>
      </c>
      <c r="C39" s="188" t="s">
        <v>440</v>
      </c>
      <c r="D39" s="266">
        <v>14.0</v>
      </c>
      <c r="E39" s="268" t="str">
        <f>('17.Facility 6 Horti Processing '!D159/365)*$D$39</f>
        <v>  -   </v>
      </c>
      <c r="F39" s="268" t="str">
        <f>('17.Facility 6 Horti Processing '!E159/365)*$D$39</f>
        <v>  -   </v>
      </c>
      <c r="G39" s="268" t="str">
        <f>('17.Facility 6 Horti Processing '!F159/365)*$D$39</f>
        <v>  -   </v>
      </c>
      <c r="H39" s="268" t="str">
        <f>('17.Facility 6 Horti Processing '!G159/365)*$D$39</f>
        <v>  -   </v>
      </c>
      <c r="I39" s="268" t="str">
        <f>('17.Facility 6 Horti Processing '!H159/365)*$D$39</f>
        <v>  -   </v>
      </c>
      <c r="J39" s="268" t="str">
        <f>('17.Facility 6 Horti Processing '!I159/365)*$D$39</f>
        <v>  -   </v>
      </c>
      <c r="K39" s="268" t="str">
        <f>('17.Facility 6 Horti Processing '!J159/365)*$D$39</f>
        <v>  -   </v>
      </c>
    </row>
    <row r="40">
      <c r="B40" s="269"/>
      <c r="C40" s="188"/>
      <c r="D40" s="266"/>
      <c r="E40" s="268"/>
      <c r="F40" s="268"/>
      <c r="G40" s="268"/>
      <c r="H40" s="268"/>
      <c r="I40" s="268"/>
      <c r="J40" s="268"/>
      <c r="K40" s="268"/>
    </row>
    <row r="41">
      <c r="B41" s="266"/>
      <c r="C41" s="267" t="s">
        <v>223</v>
      </c>
      <c r="D41" s="266"/>
      <c r="E41" s="268" t="str">
        <f t="shared" ref="E41:K41" si="14">SUM(E34:E40)</f>
        <v>  5,741,233 </v>
      </c>
      <c r="F41" s="268" t="str">
        <f t="shared" si="14"/>
        <v>  6,723,236 </v>
      </c>
      <c r="G41" s="268" t="str">
        <f t="shared" si="14"/>
        <v>  7,699,950 </v>
      </c>
      <c r="H41" s="268" t="str">
        <f t="shared" si="14"/>
        <v>  8,758,476 </v>
      </c>
      <c r="I41" s="268" t="str">
        <f t="shared" si="14"/>
        <v>  9,903,606 </v>
      </c>
      <c r="J41" s="268" t="str">
        <f t="shared" si="14"/>
        <v>  11,141,352 </v>
      </c>
      <c r="K41" s="268" t="str">
        <f t="shared" si="14"/>
        <v>  12,478,113 </v>
      </c>
    </row>
    <row r="42">
      <c r="B42" s="266" t="s">
        <v>61</v>
      </c>
      <c r="C42" s="267" t="s">
        <v>430</v>
      </c>
      <c r="D42" s="266"/>
      <c r="E42" s="268" t="str">
        <f>'5.Closing Stock &amp; W Capital'!E21</f>
        <v>  2,856,655 </v>
      </c>
      <c r="F42" s="268" t="str">
        <f>'5.Closing Stock &amp; W Capital'!F21</f>
        <v>  3,299,227 </v>
      </c>
      <c r="G42" s="268" t="str">
        <f>'5.Closing Stock &amp; W Capital'!G21</f>
        <v>  3,778,914 </v>
      </c>
      <c r="H42" s="268" t="str">
        <f>'5.Closing Stock &amp; W Capital'!H21</f>
        <v>  4,298,322 </v>
      </c>
      <c r="I42" s="268" t="str">
        <f>'5.Closing Stock &amp; W Capital'!I21</f>
        <v>  4,860,223 </v>
      </c>
      <c r="J42" s="268" t="str">
        <f>'5.Closing Stock &amp; W Capital'!J21</f>
        <v>  5,467,568 </v>
      </c>
      <c r="K42" s="268" t="str">
        <f>'5.Closing Stock &amp; W Capital'!K21</f>
        <v>  6,123,498 </v>
      </c>
    </row>
    <row r="43">
      <c r="B43" s="266"/>
      <c r="C43" s="188"/>
      <c r="D43" s="266"/>
      <c r="E43" s="268"/>
      <c r="F43" s="268"/>
      <c r="G43" s="268"/>
      <c r="H43" s="268"/>
      <c r="I43" s="268"/>
      <c r="J43" s="268"/>
      <c r="K43" s="268"/>
    </row>
    <row r="44">
      <c r="B44" s="168" t="s">
        <v>88</v>
      </c>
      <c r="C44" s="6"/>
      <c r="D44" s="270"/>
      <c r="E44" s="271" t="str">
        <f t="shared" ref="E44:K44" si="15">SUM(E41:E42)</f>
        <v>  8,597,888 </v>
      </c>
      <c r="F44" s="271" t="str">
        <f t="shared" si="15"/>
        <v>  10,022,463 </v>
      </c>
      <c r="G44" s="271" t="str">
        <f t="shared" si="15"/>
        <v>  11,478,864 </v>
      </c>
      <c r="H44" s="271" t="str">
        <f t="shared" si="15"/>
        <v>  13,056,798 </v>
      </c>
      <c r="I44" s="271" t="str">
        <f t="shared" si="15"/>
        <v>  14,763,828 </v>
      </c>
      <c r="J44" s="271" t="str">
        <f t="shared" si="15"/>
        <v>  16,608,920 </v>
      </c>
      <c r="K44" s="271" t="str">
        <f t="shared" si="15"/>
        <v>  18,601,611 </v>
      </c>
    </row>
    <row r="45">
      <c r="B45" s="266"/>
      <c r="C45" s="267"/>
      <c r="D45" s="266"/>
      <c r="E45" s="268"/>
      <c r="F45" s="268"/>
      <c r="G45" s="268"/>
      <c r="H45" s="268"/>
      <c r="I45" s="268"/>
      <c r="J45" s="268"/>
      <c r="K45" s="268"/>
    </row>
    <row r="46" ht="34.5" customHeight="1">
      <c r="B46" s="266" t="s">
        <v>230</v>
      </c>
      <c r="C46" s="188" t="s">
        <v>441</v>
      </c>
      <c r="D46" s="266"/>
      <c r="E46" s="268"/>
      <c r="F46" s="268"/>
      <c r="G46" s="268"/>
      <c r="H46" s="268"/>
      <c r="I46" s="268"/>
      <c r="J46" s="268"/>
      <c r="K46" s="268"/>
    </row>
    <row r="47">
      <c r="B47" s="269">
        <v>1.0</v>
      </c>
      <c r="C47" s="188" t="str">
        <f t="shared" ref="C47:C52" si="16">C34</f>
        <v>Agri Input</v>
      </c>
      <c r="D47" s="266">
        <v>7.0</v>
      </c>
      <c r="E47" s="268" t="str">
        <f>('16.Facility 5 Agri Input'!D262/365)*$D$47</f>
        <v>  -   </v>
      </c>
      <c r="F47" s="268" t="str">
        <f>('16.Facility 5 Agri Input'!E262/365)*$D$47</f>
        <v>  -   </v>
      </c>
      <c r="G47" s="268" t="str">
        <f>('16.Facility 5 Agri Input'!F262/365)*$D$47</f>
        <v>  -   </v>
      </c>
      <c r="H47" s="268" t="str">
        <f>('16.Facility 5 Agri Input'!G262/365)*$D$47</f>
        <v>  -   </v>
      </c>
      <c r="I47" s="268" t="str">
        <f>('16.Facility 5 Agri Input'!H262/365)*$D$47</f>
        <v>  -   </v>
      </c>
      <c r="J47" s="268" t="str">
        <f>('16.Facility 5 Agri Input'!I262/365)*$D$47</f>
        <v>  -   </v>
      </c>
      <c r="K47" s="268" t="str">
        <f>('16.Facility 5 Agri Input'!J262/365)*$D$47</f>
        <v>  -   </v>
      </c>
    </row>
    <row r="48">
      <c r="B48" s="269">
        <v>2.0</v>
      </c>
      <c r="C48" s="188" t="str">
        <f t="shared" si="16"/>
        <v>Custom Hiring</v>
      </c>
      <c r="D48" s="266">
        <v>7.0</v>
      </c>
      <c r="E48" s="268" t="str">
        <f>('15. Facility 4 Custom Hiring'!E49/365)*$D$49</f>
        <v>  -   </v>
      </c>
      <c r="F48" s="268" t="str">
        <f>('15. Facility 4 Custom Hiring'!F49/365)*$D$49</f>
        <v>  -   </v>
      </c>
      <c r="G48" s="268" t="str">
        <f>('15. Facility 4 Custom Hiring'!G49/365)*$D$49</f>
        <v>  -   </v>
      </c>
      <c r="H48" s="268" t="str">
        <f>('15. Facility 4 Custom Hiring'!H49/365)*$D$49</f>
        <v>  -   </v>
      </c>
      <c r="I48" s="268" t="str">
        <f>('15. Facility 4 Custom Hiring'!I49/365)*$D$49</f>
        <v>  -   </v>
      </c>
      <c r="J48" s="268" t="str">
        <f>('15. Facility 4 Custom Hiring'!J49/365)*$D$49</f>
        <v>  -   </v>
      </c>
      <c r="K48" s="268" t="str">
        <f>('15. Facility 4 Custom Hiring'!K49/365)*$D$49</f>
        <v>  -   </v>
      </c>
    </row>
    <row r="49">
      <c r="B49" s="269">
        <v>3.0</v>
      </c>
      <c r="C49" s="188" t="str">
        <f t="shared" si="16"/>
        <v>Cleaning &amp; Grading</v>
      </c>
      <c r="D49" s="266">
        <v>7.0</v>
      </c>
      <c r="E49" s="268" t="str">
        <f>('12.Facility 1 - Trading'!D292/365)*$D$49</f>
        <v>  1,942,766 </v>
      </c>
      <c r="F49" s="268" t="str">
        <f>('12.Facility 1 - Trading'!E292/365)*$D$49</f>
        <v>  2,283,486 </v>
      </c>
      <c r="G49" s="268" t="str">
        <f>('12.Facility 1 - Trading'!F292/365)*$D$49</f>
        <v>  2,616,007 </v>
      </c>
      <c r="H49" s="268" t="str">
        <f>('12.Facility 1 - Trading'!G292/365)*$D$49</f>
        <v>  2,976,072 </v>
      </c>
      <c r="I49" s="268" t="str">
        <f>('12.Facility 1 - Trading'!H292/365)*$D$49</f>
        <v>  3,365,603 </v>
      </c>
      <c r="J49" s="268" t="str">
        <f>('12.Facility 1 - Trading'!I292/365)*$D$49</f>
        <v>  3,786,647 </v>
      </c>
      <c r="K49" s="268" t="str">
        <f>('12.Facility 1 - Trading'!J292/365)*$D$49</f>
        <v>  4,241,381 </v>
      </c>
    </row>
    <row r="50">
      <c r="B50" s="269">
        <v>4.0</v>
      </c>
      <c r="C50" s="188" t="str">
        <f t="shared" si="16"/>
        <v>Dal Mill</v>
      </c>
      <c r="D50" s="266">
        <v>7.0</v>
      </c>
      <c r="E50" s="268" t="str">
        <f>('13.Facility 2 Grain Processing'!D166/365)*$D$50</f>
        <v>  744,498 </v>
      </c>
      <c r="F50" s="268" t="str">
        <f>('13.Facility 2 Grain Processing'!E166/365)*$D$50</f>
        <v>  874,891 </v>
      </c>
      <c r="G50" s="268" t="str">
        <f>('13.Facility 2 Grain Processing'!F166/365)*$D$50</f>
        <v>  1,002,101 </v>
      </c>
      <c r="H50" s="268" t="str">
        <f>('13.Facility 2 Grain Processing'!G166/365)*$D$50</f>
        <v>  1,139,844 </v>
      </c>
      <c r="I50" s="268" t="str">
        <f>('13.Facility 2 Grain Processing'!H166/365)*$D$50</f>
        <v>  1,288,856 </v>
      </c>
      <c r="J50" s="268" t="str">
        <f>('13.Facility 2 Grain Processing'!I166/365)*$D$50</f>
        <v>  1,449,920 </v>
      </c>
      <c r="K50" s="268" t="str">
        <f>('13.Facility 2 Grain Processing'!J166/365)*$D$50</f>
        <v>  1,623,869 </v>
      </c>
    </row>
    <row r="51">
      <c r="B51" s="269">
        <v>5.0</v>
      </c>
      <c r="C51" s="188" t="str">
        <f t="shared" si="16"/>
        <v>Warehouse</v>
      </c>
      <c r="D51" s="266">
        <v>7.0</v>
      </c>
      <c r="E51" s="268" t="str">
        <f>('14. Facility 3 Warehouse'!D34/365)*$D$51</f>
        <v>  6,904 </v>
      </c>
      <c r="F51" s="268" t="str">
        <f>('14. Facility 3 Warehouse'!E34/365)*$D$51</f>
        <v>  7,307 </v>
      </c>
      <c r="G51" s="268" t="str">
        <f>('14. Facility 3 Warehouse'!F34/365)*$D$51</f>
        <v>  7,735 </v>
      </c>
      <c r="H51" s="268" t="str">
        <f>('14. Facility 3 Warehouse'!G34/365)*$D$51</f>
        <v>  8,192 </v>
      </c>
      <c r="I51" s="268" t="str">
        <f>('14. Facility 3 Warehouse'!H34/365)*$D$51</f>
        <v>  8,678 </v>
      </c>
      <c r="J51" s="268" t="str">
        <f>('14. Facility 3 Warehouse'!I34/365)*$D$51</f>
        <v>  9,196 </v>
      </c>
      <c r="K51" s="268" t="str">
        <f>('14. Facility 3 Warehouse'!J34/365)*$D$51</f>
        <v>  9,749 </v>
      </c>
    </row>
    <row r="52">
      <c r="B52" s="269"/>
      <c r="C52" s="188" t="str">
        <f t="shared" si="16"/>
        <v>Processing Unit - Horti Commodity</v>
      </c>
      <c r="D52" s="266">
        <v>7.0</v>
      </c>
      <c r="E52" s="268" t="str">
        <f>('17.Facility 6 Horti Processing '!D177/365)*$D$52</f>
        <v>  -   </v>
      </c>
      <c r="F52" s="268" t="str">
        <f>('17.Facility 6 Horti Processing '!E177/365)*$D$52</f>
        <v>  -   </v>
      </c>
      <c r="G52" s="268" t="str">
        <f>('17.Facility 6 Horti Processing '!F177/365)*$D$52</f>
        <v>  -   </v>
      </c>
      <c r="H52" s="268" t="str">
        <f>('17.Facility 6 Horti Processing '!G177/365)*$D$52</f>
        <v>  -   </v>
      </c>
      <c r="I52" s="268" t="str">
        <f>('17.Facility 6 Horti Processing '!H177/365)*$D$52</f>
        <v>  -   </v>
      </c>
      <c r="J52" s="268" t="str">
        <f>('17.Facility 6 Horti Processing '!I177/365)*$D$52</f>
        <v>  -   </v>
      </c>
      <c r="K52" s="268" t="str">
        <f>('17.Facility 6 Horti Processing '!J177/365)*$D$52</f>
        <v>  -   </v>
      </c>
    </row>
    <row r="53">
      <c r="B53" s="269"/>
      <c r="C53" s="188"/>
      <c r="D53" s="266"/>
      <c r="E53" s="268"/>
      <c r="F53" s="268"/>
      <c r="G53" s="268"/>
      <c r="H53" s="268"/>
      <c r="I53" s="268"/>
      <c r="J53" s="268"/>
      <c r="K53" s="268"/>
    </row>
    <row r="54">
      <c r="B54" s="272"/>
      <c r="C54" s="267" t="s">
        <v>88</v>
      </c>
      <c r="D54" s="266"/>
      <c r="E54" s="271" t="str">
        <f t="shared" ref="E54:K54" si="17">SUM(E47:E53)</f>
        <v>  2,694,167 </v>
      </c>
      <c r="F54" s="271" t="str">
        <f t="shared" si="17"/>
        <v>  3,165,684 </v>
      </c>
      <c r="G54" s="271" t="str">
        <f t="shared" si="17"/>
        <v>  3,625,843 </v>
      </c>
      <c r="H54" s="271" t="str">
        <f t="shared" si="17"/>
        <v>  4,124,108 </v>
      </c>
      <c r="I54" s="271" t="str">
        <f t="shared" si="17"/>
        <v>  4,663,137 </v>
      </c>
      <c r="J54" s="271" t="str">
        <f t="shared" si="17"/>
        <v>  5,245,764 </v>
      </c>
      <c r="K54" s="271" t="str">
        <f t="shared" si="17"/>
        <v>  5,874,999 </v>
      </c>
    </row>
    <row r="55">
      <c r="B55" s="266" t="s">
        <v>239</v>
      </c>
      <c r="C55" s="267" t="s">
        <v>87</v>
      </c>
      <c r="D55" s="266"/>
      <c r="E55" s="271" t="str">
        <f t="shared" ref="E55:K55" si="18">E44-E54</f>
        <v>  5,903,721 </v>
      </c>
      <c r="F55" s="271" t="str">
        <f t="shared" si="18"/>
        <v>  6,856,779 </v>
      </c>
      <c r="G55" s="271" t="str">
        <f t="shared" si="18"/>
        <v>  7,853,020 </v>
      </c>
      <c r="H55" s="271" t="str">
        <f t="shared" si="18"/>
        <v>  8,932,690 </v>
      </c>
      <c r="I55" s="271" t="str">
        <f t="shared" si="18"/>
        <v>  10,100,691 </v>
      </c>
      <c r="J55" s="271" t="str">
        <f t="shared" si="18"/>
        <v>  11,363,156 </v>
      </c>
      <c r="K55" s="271" t="str">
        <f t="shared" si="18"/>
        <v>  12,726,612 </v>
      </c>
    </row>
    <row r="56">
      <c r="B56" s="266"/>
      <c r="C56" s="267" t="s">
        <v>94</v>
      </c>
      <c r="D56" s="273">
        <v>0.25</v>
      </c>
      <c r="E56" s="271" t="str">
        <f>E55*$D$56</f>
        <v>  1,475,930 </v>
      </c>
      <c r="F56" s="271"/>
      <c r="G56" s="271"/>
      <c r="H56" s="271"/>
      <c r="I56" s="271"/>
      <c r="J56" s="271"/>
      <c r="K56" s="271"/>
    </row>
    <row r="58">
      <c r="E58" s="127"/>
    </row>
    <row r="59" ht="36.75" customHeight="1">
      <c r="A59" s="274" t="s">
        <v>442</v>
      </c>
    </row>
    <row r="60">
      <c r="A60" t="s">
        <v>443</v>
      </c>
    </row>
    <row r="61">
      <c r="A61">
        <v>1.0</v>
      </c>
      <c r="B61" t="s">
        <v>444</v>
      </c>
    </row>
    <row r="62">
      <c r="A62">
        <v>2.0</v>
      </c>
      <c r="B62" t="s">
        <v>445</v>
      </c>
    </row>
    <row r="63">
      <c r="A63">
        <v>3.0</v>
      </c>
      <c r="B63" t="s">
        <v>446</v>
      </c>
    </row>
  </sheetData>
  <mergeCells count="13">
    <mergeCell ref="N6:R6"/>
    <mergeCell ref="U5:V5"/>
    <mergeCell ref="U6:V6"/>
    <mergeCell ref="C2:K2"/>
    <mergeCell ref="N5:R5"/>
    <mergeCell ref="A59:L59"/>
    <mergeCell ref="B28:K28"/>
    <mergeCell ref="B30:B31"/>
    <mergeCell ref="C30:C31"/>
    <mergeCell ref="B44:C44"/>
    <mergeCell ref="D30:D31"/>
    <mergeCell ref="E30:K30"/>
    <mergeCell ref="A23:K23"/>
  </mergeCells>
  <printOptions/>
  <pageMargins bottom="0.75" footer="0.0" header="0.0" left="0.7" right="0.7" top="0.75"/>
  <pageSetup paperSize="9" scale="54"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8" width="14.57"/>
    <col customWidth="1" min="9" max="9" width="8.57"/>
    <col customWidth="1" min="10" max="10" width="10.14"/>
    <col customWidth="1" min="11" max="11" width="8.71"/>
  </cols>
  <sheetData>
    <row r="1"/>
    <row r="2">
      <c r="A2" s="25" t="s">
        <v>447</v>
      </c>
    </row>
    <row r="3"/>
    <row r="4">
      <c r="B4" s="138"/>
      <c r="C4" s="138"/>
      <c r="D4" s="138"/>
      <c r="E4" s="138"/>
      <c r="F4" s="138"/>
    </row>
    <row r="5">
      <c r="A5" s="197" t="s">
        <v>156</v>
      </c>
      <c r="B5" s="198" t="s">
        <v>137</v>
      </c>
      <c r="C5" s="198" t="s">
        <v>138</v>
      </c>
      <c r="D5" s="198" t="s">
        <v>139</v>
      </c>
      <c r="E5" s="198" t="s">
        <v>140</v>
      </c>
      <c r="F5" s="198" t="s">
        <v>141</v>
      </c>
      <c r="G5" s="198" t="s">
        <v>142</v>
      </c>
      <c r="H5" s="198" t="s">
        <v>143</v>
      </c>
    </row>
    <row r="6">
      <c r="A6" s="90" t="s">
        <v>448</v>
      </c>
      <c r="B6" s="87"/>
      <c r="C6" s="87"/>
      <c r="D6" s="87"/>
      <c r="E6" s="87"/>
      <c r="F6" s="87"/>
      <c r="G6" s="87"/>
      <c r="H6" s="87"/>
    </row>
    <row r="7">
      <c r="A7" s="87"/>
      <c r="B7" s="87"/>
      <c r="C7" s="87"/>
      <c r="D7" s="87"/>
      <c r="E7" s="87"/>
      <c r="F7" s="87"/>
      <c r="G7" s="87"/>
      <c r="H7" s="87"/>
    </row>
    <row r="8">
      <c r="A8" s="87" t="s">
        <v>449</v>
      </c>
      <c r="B8" s="88" t="str">
        <f>'12.Facility 1 - Trading'!D229</f>
        <v>  105,016,485 </v>
      </c>
      <c r="C8" s="88" t="str">
        <f>'12.Facility 1 - Trading'!E229</f>
        <v>  123,478,761 </v>
      </c>
      <c r="D8" s="88" t="str">
        <f>'12.Facility 1 - Trading'!F229</f>
        <v>  141,460,163 </v>
      </c>
      <c r="E8" s="88" t="str">
        <f>'12.Facility 1 - Trading'!G229</f>
        <v>  160,931,007 </v>
      </c>
      <c r="F8" s="88" t="str">
        <f>'12.Facility 1 - Trading'!H229</f>
        <v>  181,995,286 </v>
      </c>
      <c r="G8" s="88" t="str">
        <f>'12.Facility 1 - Trading'!I229</f>
        <v>  204,763,664 </v>
      </c>
      <c r="H8" s="88" t="str">
        <f>'12.Facility 1 - Trading'!J229</f>
        <v>  229,353,893 </v>
      </c>
    </row>
    <row r="9">
      <c r="A9" s="87" t="s">
        <v>450</v>
      </c>
      <c r="B9" s="88" t="str">
        <f>'13.Facility 2 Grain Processing'!D145</f>
        <v>  43,657,662 </v>
      </c>
      <c r="C9" s="88" t="str">
        <f>'13.Facility 2 Grain Processing'!E145</f>
        <v>  50,671,613 </v>
      </c>
      <c r="D9" s="88" t="str">
        <f>'13.Facility 2 Grain Processing'!F145</f>
        <v>  58,018,451 </v>
      </c>
      <c r="E9" s="88" t="str">
        <f>'13.Facility 2 Grain Processing'!G145</f>
        <v>  65,998,051 </v>
      </c>
      <c r="F9" s="88" t="str">
        <f>'13.Facility 2 Grain Processing'!H145</f>
        <v>  74,630,565 </v>
      </c>
      <c r="G9" s="88" t="str">
        <f>'13.Facility 2 Grain Processing'!I145</f>
        <v>  83,961,335 </v>
      </c>
      <c r="H9" s="88" t="str">
        <f>'13.Facility 2 Grain Processing'!J145</f>
        <v>  94,038,606 </v>
      </c>
    </row>
    <row r="10">
      <c r="A10" s="87" t="s">
        <v>451</v>
      </c>
      <c r="B10" s="88" t="str">
        <f>'14. Facility 3 Warehouse'!D23</f>
        <v>  1,008,000 </v>
      </c>
      <c r="C10" s="88" t="str">
        <f>'14. Facility 3 Warehouse'!E23</f>
        <v>  1,134,000 </v>
      </c>
      <c r="D10" s="88" t="str">
        <f>'14. Facility 3 Warehouse'!F23</f>
        <v>  1,270,080 </v>
      </c>
      <c r="E10" s="88" t="str">
        <f>'14. Facility 3 Warehouse'!G23</f>
        <v>  1,416,933 </v>
      </c>
      <c r="F10" s="88" t="str">
        <f>'14. Facility 3 Warehouse'!H23</f>
        <v>  1,575,296 </v>
      </c>
      <c r="G10" s="88" t="str">
        <f>'14. Facility 3 Warehouse'!I23</f>
        <v>  1,745,953 </v>
      </c>
      <c r="H10" s="88" t="str">
        <f>'14. Facility 3 Warehouse'!J23</f>
        <v>  1,929,738 </v>
      </c>
    </row>
    <row r="11">
      <c r="A11" s="87" t="s">
        <v>452</v>
      </c>
      <c r="B11" s="88" t="str">
        <f>'15. Facility 4 Custom Hiring'!E39</f>
        <v>  -   </v>
      </c>
      <c r="C11" s="88" t="str">
        <f>'15. Facility 4 Custom Hiring'!F39</f>
        <v>  -   </v>
      </c>
      <c r="D11" s="88" t="str">
        <f>'15. Facility 4 Custom Hiring'!G39</f>
        <v>  -   </v>
      </c>
      <c r="E11" s="88" t="str">
        <f>'15. Facility 4 Custom Hiring'!H39</f>
        <v>  -   </v>
      </c>
      <c r="F11" s="88" t="str">
        <f>'15. Facility 4 Custom Hiring'!I39</f>
        <v>  -   </v>
      </c>
      <c r="G11" s="88" t="str">
        <f>'15. Facility 4 Custom Hiring'!J39</f>
        <v>  -   </v>
      </c>
      <c r="H11" s="88" t="str">
        <f>'15. Facility 4 Custom Hiring'!K39</f>
        <v>  -   </v>
      </c>
    </row>
    <row r="12">
      <c r="A12" s="87" t="s">
        <v>453</v>
      </c>
      <c r="B12" s="88" t="str">
        <f>'16.Facility 5 Agri Input'!D191</f>
        <v>  -   </v>
      </c>
      <c r="C12" s="88" t="str">
        <f>'16.Facility 5 Agri Input'!E191</f>
        <v>  -   </v>
      </c>
      <c r="D12" s="88" t="str">
        <f>'16.Facility 5 Agri Input'!F191</f>
        <v>  -   </v>
      </c>
      <c r="E12" s="88" t="str">
        <f>'16.Facility 5 Agri Input'!G191</f>
        <v>  -   </v>
      </c>
      <c r="F12" s="88" t="str">
        <f>'16.Facility 5 Agri Input'!H191</f>
        <v>  -   </v>
      </c>
      <c r="G12" s="88" t="str">
        <f>'16.Facility 5 Agri Input'!I191</f>
        <v>  -   </v>
      </c>
      <c r="H12" s="88" t="str">
        <f>'16.Facility 5 Agri Input'!J191</f>
        <v>  -   </v>
      </c>
    </row>
    <row r="13">
      <c r="A13" s="87" t="s">
        <v>454</v>
      </c>
      <c r="B13" s="88" t="str">
        <f>'17.Facility 6 Horti Processing '!D159</f>
        <v>  -   </v>
      </c>
      <c r="C13" s="88" t="str">
        <f>'17.Facility 6 Horti Processing '!E159</f>
        <v>  -   </v>
      </c>
      <c r="D13" s="88" t="str">
        <f>'17.Facility 6 Horti Processing '!F159</f>
        <v>  -   </v>
      </c>
      <c r="E13" s="88" t="str">
        <f>'17.Facility 6 Horti Processing '!G159</f>
        <v>  -   </v>
      </c>
      <c r="F13" s="88" t="str">
        <f>'17.Facility 6 Horti Processing '!H159</f>
        <v>  -   </v>
      </c>
      <c r="G13" s="88" t="str">
        <f>'17.Facility 6 Horti Processing '!I159</f>
        <v>  -   </v>
      </c>
      <c r="H13" s="88" t="str">
        <f>'17.Facility 6 Horti Processing '!J159</f>
        <v>  -   </v>
      </c>
    </row>
    <row r="14">
      <c r="A14" s="87"/>
      <c r="B14" s="88"/>
      <c r="C14" s="88"/>
      <c r="D14" s="88"/>
      <c r="E14" s="88"/>
      <c r="F14" s="88"/>
      <c r="G14" s="88"/>
      <c r="H14" s="88"/>
    </row>
    <row r="15">
      <c r="A15" s="90" t="s">
        <v>455</v>
      </c>
      <c r="B15" s="91" t="str">
        <f t="shared" ref="B15:H15" si="1">SUM(B8:B14)</f>
        <v>  149,682,147 </v>
      </c>
      <c r="C15" s="91" t="str">
        <f t="shared" si="1"/>
        <v>  175,284,374 </v>
      </c>
      <c r="D15" s="91" t="str">
        <f t="shared" si="1"/>
        <v>  200,748,693 </v>
      </c>
      <c r="E15" s="91" t="str">
        <f t="shared" si="1"/>
        <v>  228,345,991 </v>
      </c>
      <c r="F15" s="91" t="str">
        <f t="shared" si="1"/>
        <v>  258,201,146 </v>
      </c>
      <c r="G15" s="91" t="str">
        <f t="shared" si="1"/>
        <v>  290,470,953 </v>
      </c>
      <c r="H15" s="91" t="str">
        <f t="shared" si="1"/>
        <v>  325,322,237 </v>
      </c>
    </row>
    <row r="16">
      <c r="A16" s="87"/>
      <c r="B16" s="88"/>
      <c r="C16" s="88"/>
      <c r="D16" s="88"/>
      <c r="E16" s="88"/>
      <c r="F16" s="88"/>
      <c r="G16" s="88"/>
      <c r="H16" s="88"/>
    </row>
    <row r="17">
      <c r="A17" s="90" t="s">
        <v>198</v>
      </c>
      <c r="B17" s="88"/>
      <c r="C17" s="88"/>
      <c r="D17" s="88"/>
      <c r="E17" s="88"/>
      <c r="F17" s="88"/>
      <c r="G17" s="88"/>
      <c r="H17" s="88"/>
    </row>
    <row r="18">
      <c r="A18" s="87" t="str">
        <f t="shared" ref="A18:A23" si="2">A8</f>
        <v>Faclitiy 1 - Cleaning &amp; Grading</v>
      </c>
      <c r="B18" s="88" t="str">
        <f>'12.Facility 1 - Trading'!D292</f>
        <v>  101,301,354 </v>
      </c>
      <c r="C18" s="88" t="str">
        <f>'12.Facility 1 - Trading'!E292</f>
        <v>  119,067,470 </v>
      </c>
      <c r="D18" s="88" t="str">
        <f>'12.Facility 1 - Trading'!F292</f>
        <v>  136,406,080 </v>
      </c>
      <c r="E18" s="88" t="str">
        <f>'12.Facility 1 - Trading'!G292</f>
        <v>  155,180,883 </v>
      </c>
      <c r="F18" s="88" t="str">
        <f>'12.Facility 1 - Trading'!H292</f>
        <v>  175,492,151 </v>
      </c>
      <c r="G18" s="88" t="str">
        <f>'12.Facility 1 - Trading'!I292</f>
        <v>  197,446,593 </v>
      </c>
      <c r="H18" s="88" t="str">
        <f>'12.Facility 1 - Trading'!J292</f>
        <v>  221,157,749 </v>
      </c>
    </row>
    <row r="19">
      <c r="A19" s="87" t="str">
        <f t="shared" si="2"/>
        <v>Faclitiy 2 - Processing Unit - Dal Mill</v>
      </c>
      <c r="B19" s="88" t="str">
        <f>'13.Facility 2 Grain Processing'!D166</f>
        <v>  38,820,236 </v>
      </c>
      <c r="C19" s="88" t="str">
        <f>'13.Facility 2 Grain Processing'!E166</f>
        <v>  45,619,332 </v>
      </c>
      <c r="D19" s="88" t="str">
        <f>'13.Facility 2 Grain Processing'!F166</f>
        <v>  52,252,401 </v>
      </c>
      <c r="E19" s="88" t="str">
        <f>'13.Facility 2 Grain Processing'!G166</f>
        <v>  59,434,729 </v>
      </c>
      <c r="F19" s="88" t="str">
        <f>'13.Facility 2 Grain Processing'!H166</f>
        <v>  67,204,658 </v>
      </c>
      <c r="G19" s="88" t="str">
        <f>'13.Facility 2 Grain Processing'!I166</f>
        <v>  75,602,994 </v>
      </c>
      <c r="H19" s="88" t="str">
        <f>'13.Facility 2 Grain Processing'!J166</f>
        <v>  84,673,152 </v>
      </c>
    </row>
    <row r="20">
      <c r="A20" s="87" t="str">
        <f t="shared" si="2"/>
        <v>Faclitiy 3 - Warehouse</v>
      </c>
      <c r="B20" s="88" t="str">
        <f>'14. Facility 3 Warehouse'!D34</f>
        <v>  360,000 </v>
      </c>
      <c r="C20" s="88" t="str">
        <f>'14. Facility 3 Warehouse'!E34</f>
        <v>  381,000 </v>
      </c>
      <c r="D20" s="88" t="str">
        <f>'14. Facility 3 Warehouse'!F34</f>
        <v>  403,350 </v>
      </c>
      <c r="E20" s="88" t="str">
        <f>'14. Facility 3 Warehouse'!G34</f>
        <v>  427,148 </v>
      </c>
      <c r="F20" s="88" t="str">
        <f>'14. Facility 3 Warehouse'!H34</f>
        <v>  452,498 </v>
      </c>
      <c r="G20" s="88" t="str">
        <f>'14. Facility 3 Warehouse'!I34</f>
        <v>  479,515 </v>
      </c>
      <c r="H20" s="88" t="str">
        <f>'14. Facility 3 Warehouse'!J34</f>
        <v>  508,323 </v>
      </c>
    </row>
    <row r="21">
      <c r="A21" s="87" t="str">
        <f t="shared" si="2"/>
        <v>Faclitiy 4 - Custom Hiring </v>
      </c>
      <c r="B21" s="88" t="str">
        <f>'15. Facility 4 Custom Hiring'!E49</f>
        <v>  -   </v>
      </c>
      <c r="C21" s="88" t="str">
        <f>'15. Facility 4 Custom Hiring'!F49</f>
        <v>  -   </v>
      </c>
      <c r="D21" s="88" t="str">
        <f>'15. Facility 4 Custom Hiring'!G49</f>
        <v>  -   </v>
      </c>
      <c r="E21" s="88" t="str">
        <f>'15. Facility 4 Custom Hiring'!H49</f>
        <v>  -   </v>
      </c>
      <c r="F21" s="88" t="str">
        <f>'15. Facility 4 Custom Hiring'!I49</f>
        <v>  -   </v>
      </c>
      <c r="G21" s="88" t="str">
        <f>'15. Facility 4 Custom Hiring'!J49</f>
        <v>  -   </v>
      </c>
      <c r="H21" s="88" t="str">
        <f>'15. Facility 4 Custom Hiring'!K49</f>
        <v>  -   </v>
      </c>
    </row>
    <row r="22">
      <c r="A22" s="87" t="str">
        <f t="shared" si="2"/>
        <v>Faclitiy 5 - Agri Input Centre</v>
      </c>
      <c r="B22" s="88" t="str">
        <f>'16.Facility 5 Agri Input'!D262</f>
        <v>  -   </v>
      </c>
      <c r="C22" s="88" t="str">
        <f>'16.Facility 5 Agri Input'!E262</f>
        <v>  -   </v>
      </c>
      <c r="D22" s="88" t="str">
        <f>'16.Facility 5 Agri Input'!F262</f>
        <v>  -   </v>
      </c>
      <c r="E22" s="88" t="str">
        <f>'16.Facility 5 Agri Input'!G262</f>
        <v>  -   </v>
      </c>
      <c r="F22" s="88" t="str">
        <f>'16.Facility 5 Agri Input'!H262</f>
        <v>  -   </v>
      </c>
      <c r="G22" s="88" t="str">
        <f>'16.Facility 5 Agri Input'!I262</f>
        <v>  -   </v>
      </c>
      <c r="H22" s="88" t="str">
        <f>'16.Facility 5 Agri Input'!J262</f>
        <v>  -   </v>
      </c>
    </row>
    <row r="23">
      <c r="A23" s="87" t="str">
        <f t="shared" si="2"/>
        <v>Facility 6 - Processing Unit - Horti Commodity</v>
      </c>
      <c r="B23" s="88" t="str">
        <f>'17.Facility 6 Horti Processing '!D177</f>
        <v>  -   </v>
      </c>
      <c r="C23" s="88" t="str">
        <f>'17.Facility 6 Horti Processing '!E177</f>
        <v>  -   </v>
      </c>
      <c r="D23" s="88" t="str">
        <f>'17.Facility 6 Horti Processing '!F177</f>
        <v>  -   </v>
      </c>
      <c r="E23" s="88" t="str">
        <f>'17.Facility 6 Horti Processing '!G177</f>
        <v>  -   </v>
      </c>
      <c r="F23" s="88" t="str">
        <f>'17.Facility 6 Horti Processing '!H177</f>
        <v>  -   </v>
      </c>
      <c r="G23" s="88" t="str">
        <f>'17.Facility 6 Horti Processing '!I177</f>
        <v>  -   </v>
      </c>
      <c r="H23" s="88" t="str">
        <f>'17.Facility 6 Horti Processing '!J177</f>
        <v>  -   </v>
      </c>
    </row>
    <row r="24">
      <c r="A24" s="87"/>
      <c r="B24" s="88"/>
      <c r="C24" s="88"/>
      <c r="D24" s="88"/>
      <c r="E24" s="88"/>
      <c r="F24" s="88"/>
      <c r="G24" s="88"/>
      <c r="H24" s="88"/>
    </row>
    <row r="25">
      <c r="A25" s="90" t="s">
        <v>456</v>
      </c>
      <c r="B25" s="91" t="str">
        <f t="shared" ref="B25:H25" si="3">SUM(B18:B24)</f>
        <v>  140,481,590 </v>
      </c>
      <c r="C25" s="91" t="str">
        <f t="shared" si="3"/>
        <v>  165,067,801 </v>
      </c>
      <c r="D25" s="91" t="str">
        <f t="shared" si="3"/>
        <v>  189,061,831 </v>
      </c>
      <c r="E25" s="91" t="str">
        <f t="shared" si="3"/>
        <v>  215,042,759 </v>
      </c>
      <c r="F25" s="91" t="str">
        <f t="shared" si="3"/>
        <v>  243,149,307 </v>
      </c>
      <c r="G25" s="91" t="str">
        <f t="shared" si="3"/>
        <v>  273,529,103 </v>
      </c>
      <c r="H25" s="91" t="str">
        <f t="shared" si="3"/>
        <v>  306,339,224 </v>
      </c>
    </row>
    <row r="26">
      <c r="A26" s="87"/>
      <c r="B26" s="88"/>
      <c r="C26" s="88"/>
      <c r="D26" s="88"/>
      <c r="E26" s="88"/>
      <c r="F26" s="88"/>
      <c r="G26" s="88"/>
      <c r="H26" s="88"/>
    </row>
    <row r="27">
      <c r="A27" s="90" t="s">
        <v>457</v>
      </c>
      <c r="B27" s="88"/>
      <c r="C27" s="88"/>
      <c r="D27" s="88"/>
      <c r="E27" s="88"/>
      <c r="F27" s="88"/>
      <c r="G27" s="88"/>
      <c r="H27" s="88"/>
    </row>
    <row r="28">
      <c r="A28" s="87" t="str">
        <f t="shared" ref="A28:A33" si="4">A18</f>
        <v>Faclitiy 1 - Cleaning &amp; Grading</v>
      </c>
      <c r="B28" s="88" t="str">
        <f>'12.Facility 1 - Trading'!D301</f>
        <v>  1,176,000 </v>
      </c>
      <c r="C28" s="88" t="str">
        <f>'12.Facility 1 - Trading'!E301</f>
        <v>  1,234,800 </v>
      </c>
      <c r="D28" s="88" t="str">
        <f>'12.Facility 1 - Trading'!F301</f>
        <v>  1,296,540 </v>
      </c>
      <c r="E28" s="88" t="str">
        <f>'12.Facility 1 - Trading'!G301</f>
        <v>  1,361,367 </v>
      </c>
      <c r="F28" s="88" t="str">
        <f>'12.Facility 1 - Trading'!H301</f>
        <v>  1,429,435 </v>
      </c>
      <c r="G28" s="88" t="str">
        <f>'12.Facility 1 - Trading'!I301</f>
        <v>  1,500,907 </v>
      </c>
      <c r="H28" s="88" t="str">
        <f>'12.Facility 1 - Trading'!J301</f>
        <v>  1,575,952 </v>
      </c>
    </row>
    <row r="29">
      <c r="A29" s="87" t="str">
        <f t="shared" si="4"/>
        <v>Faclitiy 2 - Processing Unit - Dal Mill</v>
      </c>
      <c r="B29" s="88" t="str">
        <f>'13.Facility 2 Grain Processing'!D174</f>
        <v>  696,000 </v>
      </c>
      <c r="C29" s="88" t="str">
        <f>'13.Facility 2 Grain Processing'!E174</f>
        <v>  730,800 </v>
      </c>
      <c r="D29" s="88" t="str">
        <f>'13.Facility 2 Grain Processing'!F174</f>
        <v>  767,340 </v>
      </c>
      <c r="E29" s="88" t="str">
        <f>'13.Facility 2 Grain Processing'!G174</f>
        <v>  805,707 </v>
      </c>
      <c r="F29" s="88" t="str">
        <f>'13.Facility 2 Grain Processing'!H174</f>
        <v>  845,992 </v>
      </c>
      <c r="G29" s="88" t="str">
        <f>'13.Facility 2 Grain Processing'!I174</f>
        <v>  888,292 </v>
      </c>
      <c r="H29" s="88" t="str">
        <f>'13.Facility 2 Grain Processing'!J174</f>
        <v>  932,707 </v>
      </c>
    </row>
    <row r="30">
      <c r="A30" s="87" t="str">
        <f t="shared" si="4"/>
        <v>Faclitiy 3 - Warehouse</v>
      </c>
      <c r="B30" s="88" t="str">
        <f>'14. Facility 3 Warehouse'!D43</f>
        <v>  336,000 </v>
      </c>
      <c r="C30" s="88" t="str">
        <f>'14. Facility 3 Warehouse'!E43</f>
        <v>  352,800 </v>
      </c>
      <c r="D30" s="88" t="str">
        <f>'14. Facility 3 Warehouse'!F43</f>
        <v>  370,440 </v>
      </c>
      <c r="E30" s="88" t="str">
        <f>'14. Facility 3 Warehouse'!G43</f>
        <v>  388,962 </v>
      </c>
      <c r="F30" s="88" t="str">
        <f>'14. Facility 3 Warehouse'!H43</f>
        <v>  408,410 </v>
      </c>
      <c r="G30" s="88" t="str">
        <f>'14. Facility 3 Warehouse'!I43</f>
        <v>  428,831 </v>
      </c>
      <c r="H30" s="88" t="str">
        <f>'14. Facility 3 Warehouse'!J43</f>
        <v>  450,272 </v>
      </c>
    </row>
    <row r="31">
      <c r="A31" s="87" t="str">
        <f t="shared" si="4"/>
        <v>Faclitiy 4 - Custom Hiring </v>
      </c>
      <c r="B31" s="88" t="str">
        <f>'15. Facility 4 Custom Hiring'!E56</f>
        <v>  -   </v>
      </c>
      <c r="C31" s="88" t="str">
        <f>'15. Facility 4 Custom Hiring'!F56</f>
        <v>  -   </v>
      </c>
      <c r="D31" s="88" t="str">
        <f>'15. Facility 4 Custom Hiring'!G56</f>
        <v>  -   </v>
      </c>
      <c r="E31" s="88" t="str">
        <f>'15. Facility 4 Custom Hiring'!H56</f>
        <v>  -   </v>
      </c>
      <c r="F31" s="88" t="str">
        <f>'15. Facility 4 Custom Hiring'!I56</f>
        <v>  -   </v>
      </c>
      <c r="G31" s="88" t="str">
        <f>'15. Facility 4 Custom Hiring'!J56</f>
        <v>  -   </v>
      </c>
      <c r="H31" s="88" t="str">
        <f>'15. Facility 4 Custom Hiring'!K56</f>
        <v>  -   </v>
      </c>
    </row>
    <row r="32">
      <c r="A32" s="87" t="str">
        <f t="shared" si="4"/>
        <v>Faclitiy 5 - Agri Input Centre</v>
      </c>
      <c r="B32" s="88" t="str">
        <f>'16.Facility 5 Agri Input'!D273</f>
        <v>  -   </v>
      </c>
      <c r="C32" s="88" t="str">
        <f>'16.Facility 5 Agri Input'!E273</f>
        <v>  -   </v>
      </c>
      <c r="D32" s="88" t="str">
        <f>'16.Facility 5 Agri Input'!F273</f>
        <v>  -   </v>
      </c>
      <c r="E32" s="88" t="str">
        <f>'16.Facility 5 Agri Input'!G273</f>
        <v>  -   </v>
      </c>
      <c r="F32" s="88" t="str">
        <f>'16.Facility 5 Agri Input'!H273</f>
        <v>  -   </v>
      </c>
      <c r="G32" s="88" t="str">
        <f>'16.Facility 5 Agri Input'!I273</f>
        <v>  -   </v>
      </c>
      <c r="H32" s="88" t="str">
        <f>'16.Facility 5 Agri Input'!J273</f>
        <v>  -   </v>
      </c>
    </row>
    <row r="33">
      <c r="A33" s="87" t="str">
        <f t="shared" si="4"/>
        <v>Facility 6 - Processing Unit - Horti Commodity</v>
      </c>
      <c r="B33" s="88" t="str">
        <f>'17.Facility 6 Horti Processing '!D185</f>
        <v>  -   </v>
      </c>
      <c r="C33" s="88" t="str">
        <f>'17.Facility 6 Horti Processing '!E185</f>
        <v>  -   </v>
      </c>
      <c r="D33" s="88" t="str">
        <f>'17.Facility 6 Horti Processing '!F185</f>
        <v>  -   </v>
      </c>
      <c r="E33" s="88" t="str">
        <f>'17.Facility 6 Horti Processing '!G185</f>
        <v>  -   </v>
      </c>
      <c r="F33" s="88" t="str">
        <f>'17.Facility 6 Horti Processing '!H185</f>
        <v>  -   </v>
      </c>
      <c r="G33" s="88" t="str">
        <f>'17.Facility 6 Horti Processing '!I185</f>
        <v>  -   </v>
      </c>
      <c r="H33" s="88" t="str">
        <f>'17.Facility 6 Horti Processing '!J185</f>
        <v>  -   </v>
      </c>
    </row>
    <row r="34">
      <c r="A34" s="87"/>
      <c r="B34" s="88"/>
      <c r="C34" s="88"/>
      <c r="D34" s="88"/>
      <c r="E34" s="88"/>
      <c r="F34" s="88"/>
      <c r="G34" s="88"/>
      <c r="H34" s="88"/>
    </row>
    <row r="35">
      <c r="A35" s="87" t="s">
        <v>458</v>
      </c>
      <c r="B35" s="88" t="str">
        <f>'3.Other Exp &amp; Taxes'!E23</f>
        <v>  1,188,000 </v>
      </c>
      <c r="C35" s="88" t="str">
        <f>'3.Other Exp &amp; Taxes'!F23</f>
        <v>  1,265,400 </v>
      </c>
      <c r="D35" s="88" t="str">
        <f>'3.Other Exp &amp; Taxes'!G23</f>
        <v>  1,350,270 </v>
      </c>
      <c r="E35" s="88" t="str">
        <f>'3.Other Exp &amp; Taxes'!H23</f>
        <v>  1,443,704 </v>
      </c>
      <c r="F35" s="88" t="str">
        <f>'3.Other Exp &amp; Taxes'!I23</f>
        <v>  1,546,993 </v>
      </c>
      <c r="G35" s="88" t="str">
        <f>'3.Other Exp &amp; Taxes'!J23</f>
        <v>  1,661,667 </v>
      </c>
      <c r="H35" s="88" t="str">
        <f>'3.Other Exp &amp; Taxes'!K23</f>
        <v>  1,789,540 </v>
      </c>
    </row>
    <row r="36">
      <c r="A36" s="90" t="s">
        <v>459</v>
      </c>
      <c r="B36" s="91" t="str">
        <f t="shared" ref="B36:H36" si="5">SUM(B28:B35)</f>
        <v>  3,396,000 </v>
      </c>
      <c r="C36" s="91" t="str">
        <f t="shared" si="5"/>
        <v>  3,583,800 </v>
      </c>
      <c r="D36" s="91" t="str">
        <f t="shared" si="5"/>
        <v>  3,784,590 </v>
      </c>
      <c r="E36" s="91" t="str">
        <f t="shared" si="5"/>
        <v>  3,999,740 </v>
      </c>
      <c r="F36" s="91" t="str">
        <f t="shared" si="5"/>
        <v>  4,230,830 </v>
      </c>
      <c r="G36" s="91" t="str">
        <f t="shared" si="5"/>
        <v>  4,479,697 </v>
      </c>
      <c r="H36" s="91" t="str">
        <f t="shared" si="5"/>
        <v>  4,748,471 </v>
      </c>
    </row>
    <row r="37">
      <c r="A37" s="87"/>
      <c r="B37" s="88"/>
      <c r="C37" s="88"/>
      <c r="D37" s="88"/>
      <c r="E37" s="88"/>
      <c r="F37" s="88"/>
      <c r="G37" s="88"/>
      <c r="H37" s="88"/>
    </row>
    <row r="38">
      <c r="A38" s="90" t="s">
        <v>460</v>
      </c>
      <c r="B38" s="91" t="str">
        <f t="shared" ref="B38:H38" si="6">B25+B36</f>
        <v>  143,877,590 </v>
      </c>
      <c r="C38" s="91" t="str">
        <f t="shared" si="6"/>
        <v>  168,651,601 </v>
      </c>
      <c r="D38" s="91" t="str">
        <f t="shared" si="6"/>
        <v>  192,846,421 </v>
      </c>
      <c r="E38" s="91" t="str">
        <f t="shared" si="6"/>
        <v>  219,042,499 </v>
      </c>
      <c r="F38" s="91" t="str">
        <f t="shared" si="6"/>
        <v>  247,380,137 </v>
      </c>
      <c r="G38" s="91" t="str">
        <f t="shared" si="6"/>
        <v>  278,008,799 </v>
      </c>
      <c r="H38" s="91" t="str">
        <f t="shared" si="6"/>
        <v>  311,087,695 </v>
      </c>
    </row>
    <row r="39">
      <c r="A39" s="87"/>
      <c r="B39" s="88"/>
      <c r="C39" s="88"/>
      <c r="D39" s="88"/>
      <c r="E39" s="88"/>
      <c r="F39" s="88"/>
      <c r="G39" s="88"/>
      <c r="H39" s="88"/>
    </row>
    <row r="40">
      <c r="A40" s="90" t="s">
        <v>461</v>
      </c>
      <c r="B40" s="91" t="str">
        <f t="shared" ref="B40:H40" si="7">B15-B38</f>
        <v>  5,804,558 </v>
      </c>
      <c r="C40" s="91" t="str">
        <f t="shared" si="7"/>
        <v>  6,632,773 </v>
      </c>
      <c r="D40" s="91" t="str">
        <f t="shared" si="7"/>
        <v>  7,902,272 </v>
      </c>
      <c r="E40" s="91" t="str">
        <f t="shared" si="7"/>
        <v>  9,303,492 </v>
      </c>
      <c r="F40" s="91" t="str">
        <f t="shared" si="7"/>
        <v>  10,821,009 </v>
      </c>
      <c r="G40" s="91" t="str">
        <f t="shared" si="7"/>
        <v>  12,462,153 </v>
      </c>
      <c r="H40" s="91" t="str">
        <f t="shared" si="7"/>
        <v>  14,234,541 </v>
      </c>
      <c r="J40" s="34" t="str">
        <f>B49+B42+B43</f>
        <v>  4,205,040 </v>
      </c>
    </row>
    <row r="41">
      <c r="A41" s="87"/>
      <c r="B41" s="88"/>
      <c r="C41" s="88"/>
      <c r="D41" s="88"/>
      <c r="E41" s="88"/>
      <c r="F41" s="88"/>
      <c r="G41" s="88"/>
      <c r="H41" s="88"/>
      <c r="J41" s="275" t="str">
        <f>'5.Closing Stock &amp; W Capital'!E56</f>
        <v>  1,475,930 </v>
      </c>
    </row>
    <row r="42">
      <c r="A42" s="87" t="s">
        <v>278</v>
      </c>
      <c r="B42" s="88" t="str">
        <f>'3.Other Exp &amp; Taxes'!C66</f>
        <v>  1,085,367 </v>
      </c>
      <c r="C42" s="88" t="str">
        <f>'3.Other Exp &amp; Taxes'!D66</f>
        <v>  1,085,367 </v>
      </c>
      <c r="D42" s="88" t="str">
        <f>'3.Other Exp &amp; Taxes'!E66</f>
        <v>  1,085,367 </v>
      </c>
      <c r="E42" s="88" t="str">
        <f>'3.Other Exp &amp; Taxes'!F66</f>
        <v>  1,085,367 </v>
      </c>
      <c r="F42" s="88" t="str">
        <f>'3.Other Exp &amp; Taxes'!G66</f>
        <v>  1,085,367 </v>
      </c>
      <c r="G42" s="88" t="str">
        <f>'3.Other Exp &amp; Taxes'!H66</f>
        <v>  1,085,367 </v>
      </c>
      <c r="H42" s="88" t="str">
        <f>'3.Other Exp &amp; Taxes'!I66</f>
        <v>  1,085,367 </v>
      </c>
      <c r="J42" s="34" t="str">
        <f>J40+J41</f>
        <v>  5,680,970 </v>
      </c>
    </row>
    <row r="43">
      <c r="A43" s="87" t="s">
        <v>462</v>
      </c>
      <c r="B43" s="88" t="str">
        <f>'3.Other Exp &amp; Taxes'!C86</f>
        <v>  232,543 </v>
      </c>
      <c r="C43" s="88" t="str">
        <f>'3.Other Exp &amp; Taxes'!D86</f>
        <v>  232,543 </v>
      </c>
      <c r="D43" s="88" t="str">
        <f>'3.Other Exp &amp; Taxes'!E86</f>
        <v>  232,543 </v>
      </c>
      <c r="E43" s="88" t="str">
        <f>'3.Other Exp &amp; Taxes'!F86</f>
        <v>  232,543 </v>
      </c>
      <c r="F43" s="88" t="str">
        <f>'3.Other Exp &amp; Taxes'!G86</f>
        <v>  232,543 </v>
      </c>
      <c r="G43" s="88" t="str">
        <f>'3.Other Exp &amp; Taxes'!H86</f>
        <v>  -   </v>
      </c>
      <c r="H43" s="88" t="str">
        <f>'3.Other Exp &amp; Taxes'!I86</f>
        <v>  -   </v>
      </c>
    </row>
    <row r="44">
      <c r="A44" s="87"/>
      <c r="B44" s="88"/>
      <c r="C44" s="88"/>
      <c r="D44" s="88"/>
      <c r="E44" s="88"/>
      <c r="F44" s="88"/>
      <c r="G44" s="88"/>
      <c r="H44" s="88"/>
    </row>
    <row r="45">
      <c r="A45" s="90" t="s">
        <v>463</v>
      </c>
      <c r="B45" s="91" t="str">
        <f t="shared" ref="B45:H45" si="8">B40-B42-B43</f>
        <v>  4,486,648 </v>
      </c>
      <c r="C45" s="91" t="str">
        <f t="shared" si="8"/>
        <v>  5,314,863 </v>
      </c>
      <c r="D45" s="91" t="str">
        <f t="shared" si="8"/>
        <v>  6,584,363 </v>
      </c>
      <c r="E45" s="91" t="str">
        <f t="shared" si="8"/>
        <v>  7,985,583 </v>
      </c>
      <c r="F45" s="91" t="str">
        <f t="shared" si="8"/>
        <v>  9,503,099 </v>
      </c>
      <c r="G45" s="91" t="str">
        <f t="shared" si="8"/>
        <v>  11,376,786 </v>
      </c>
      <c r="H45" s="91" t="str">
        <f t="shared" si="8"/>
        <v>  13,149,174 </v>
      </c>
    </row>
    <row r="46">
      <c r="A46" s="87"/>
      <c r="B46" s="88"/>
      <c r="C46" s="88"/>
      <c r="D46" s="88"/>
      <c r="E46" s="88"/>
      <c r="F46" s="88"/>
      <c r="G46" s="88"/>
      <c r="H46" s="88"/>
    </row>
    <row r="47">
      <c r="A47" s="87" t="s">
        <v>464</v>
      </c>
      <c r="B47" s="88" t="str">
        <f>'8.Cash Flow '!C26+'8.Cash Flow '!C28</f>
        <v>  1,599,518 </v>
      </c>
      <c r="C47" s="88" t="str">
        <f>'8.Cash Flow '!D26+'8.Cash Flow '!D28</f>
        <v>  1,796,533 </v>
      </c>
      <c r="D47" s="88" t="str">
        <f>'8.Cash Flow '!E26+'8.Cash Flow '!E28</f>
        <v>  1,790,824 </v>
      </c>
      <c r="E47" s="88" t="str">
        <f>'8.Cash Flow '!F26+'8.Cash Flow '!F28</f>
        <v>  1,776,419 </v>
      </c>
      <c r="F47" s="88" t="str">
        <f>'8.Cash Flow '!G26+'8.Cash Flow '!G28</f>
        <v>  1,751,114 </v>
      </c>
      <c r="G47" s="88" t="str">
        <f>'8.Cash Flow '!H26+'8.Cash Flow '!H28</f>
        <v>  1,712,433 </v>
      </c>
      <c r="H47" s="88" t="str">
        <f>'8.Cash Flow '!I26+'8.Cash Flow '!I28</f>
        <v>  1,657,471 </v>
      </c>
    </row>
    <row r="48">
      <c r="A48" s="87"/>
      <c r="B48" s="88"/>
      <c r="C48" s="88"/>
      <c r="D48" s="88"/>
      <c r="E48" s="88"/>
      <c r="F48" s="88"/>
      <c r="G48" s="88"/>
      <c r="H48" s="88"/>
    </row>
    <row r="49">
      <c r="A49" s="87" t="s">
        <v>465</v>
      </c>
      <c r="B49" s="88" t="str">
        <f t="shared" ref="B49:H49" si="9">B45-B47</f>
        <v>  2,887,130 </v>
      </c>
      <c r="C49" s="88" t="str">
        <f t="shared" si="9"/>
        <v>  3,518,330 </v>
      </c>
      <c r="D49" s="88" t="str">
        <f t="shared" si="9"/>
        <v>  4,793,539 </v>
      </c>
      <c r="E49" s="88" t="str">
        <f t="shared" si="9"/>
        <v>  6,209,164 </v>
      </c>
      <c r="F49" s="88" t="str">
        <f t="shared" si="9"/>
        <v>  7,751,986 </v>
      </c>
      <c r="G49" s="88" t="str">
        <f t="shared" si="9"/>
        <v>  9,664,353 </v>
      </c>
      <c r="H49" s="88" t="str">
        <f t="shared" si="9"/>
        <v>  11,491,704 </v>
      </c>
    </row>
    <row r="50">
      <c r="A50" s="87" t="s">
        <v>466</v>
      </c>
      <c r="B50" s="88" t="str">
        <f>'3.Other Exp &amp; Taxes'!B99</f>
        <v>  250,269 </v>
      </c>
      <c r="C50" s="88" t="str">
        <f>'3.Other Exp &amp; Taxes'!C99</f>
        <v>  513,349 </v>
      </c>
      <c r="D50" s="88" t="str">
        <f>'3.Other Exp &amp; Taxes'!D99</f>
        <v>  929,460 </v>
      </c>
      <c r="E50" s="88" t="str">
        <f>'3.Other Exp &amp; Taxes'!E99</f>
        <v>  1,370,349 </v>
      </c>
      <c r="F50" s="88" t="str">
        <f>'3.Other Exp &amp; Taxes'!F99</f>
        <v>  1,834,582 </v>
      </c>
      <c r="G50" s="88" t="str">
        <f>'3.Other Exp &amp; Taxes'!G99</f>
        <v>  2,386,711 </v>
      </c>
      <c r="H50" s="88" t="str">
        <f>'3.Other Exp &amp; Taxes'!H99</f>
        <v>  2,909,772 </v>
      </c>
    </row>
    <row r="51">
      <c r="A51" s="90" t="s">
        <v>467</v>
      </c>
      <c r="B51" s="88" t="str">
        <f t="shared" ref="B51:H51" si="10">B49-B50</f>
        <v>  2,636,861 </v>
      </c>
      <c r="C51" s="88" t="str">
        <f t="shared" si="10"/>
        <v>  3,004,981 </v>
      </c>
      <c r="D51" s="88" t="str">
        <f t="shared" si="10"/>
        <v>  3,864,079 </v>
      </c>
      <c r="E51" s="88" t="str">
        <f t="shared" si="10"/>
        <v>  4,838,815 </v>
      </c>
      <c r="F51" s="88" t="str">
        <f t="shared" si="10"/>
        <v>  5,917,404 </v>
      </c>
      <c r="G51" s="88" t="str">
        <f t="shared" si="10"/>
        <v>  7,277,642 </v>
      </c>
      <c r="H51" s="88" t="str">
        <f t="shared" si="10"/>
        <v>  8,581,932 </v>
      </c>
    </row>
    <row r="52">
      <c r="A52" s="93"/>
      <c r="B52" s="102"/>
      <c r="C52" s="102"/>
      <c r="D52" s="102"/>
      <c r="E52" s="102"/>
      <c r="F52" s="102"/>
      <c r="G52" s="102"/>
      <c r="H52" s="102"/>
    </row>
    <row r="53">
      <c r="A53" s="93" t="s">
        <v>468</v>
      </c>
      <c r="B53" s="102" t="str">
        <f>B51</f>
        <v>  2,636,861 </v>
      </c>
      <c r="C53" s="102" t="str">
        <f t="shared" ref="C53:H53" si="11">B53+C51</f>
        <v>  5,641,842 </v>
      </c>
      <c r="D53" s="102" t="str">
        <f t="shared" si="11"/>
        <v>  9,505,922 </v>
      </c>
      <c r="E53" s="102" t="str">
        <f t="shared" si="11"/>
        <v>  14,344,736 </v>
      </c>
      <c r="F53" s="102" t="str">
        <f t="shared" si="11"/>
        <v>  20,262,141 </v>
      </c>
      <c r="G53" s="102" t="str">
        <f t="shared" si="11"/>
        <v>  27,539,782 </v>
      </c>
      <c r="H53" s="102" t="str">
        <f t="shared" si="11"/>
        <v>  36,121,714 </v>
      </c>
    </row>
    <row r="56" ht="32.25" customHeight="1">
      <c r="A56" s="276" t="s">
        <v>469</v>
      </c>
    </row>
    <row r="58">
      <c r="A58" s="277"/>
    </row>
  </sheetData>
  <mergeCells count="2">
    <mergeCell ref="A2:H2"/>
    <mergeCell ref="A56:I56"/>
  </mergeCells>
  <printOptions/>
  <pageMargins bottom="0.75" footer="0.0" header="0.0" left="0.7" right="0.7" top="0.75"/>
  <pageSetup scale="66"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86"/>
    <col customWidth="1" min="11" max="16" width="8.71"/>
    <col customWidth="1" min="17" max="17" width="10.14"/>
    <col customWidth="1" min="18" max="18" width="9.14"/>
  </cols>
  <sheetData>
    <row r="1">
      <c r="A1" s="199"/>
      <c r="G1" s="278"/>
      <c r="H1" s="278"/>
      <c r="I1" s="278"/>
      <c r="J1" s="278"/>
      <c r="K1" s="278"/>
      <c r="L1" s="278"/>
      <c r="M1" s="278"/>
      <c r="N1" s="278"/>
      <c r="O1" s="278"/>
      <c r="P1" s="278"/>
      <c r="Q1" s="278"/>
      <c r="R1" s="278"/>
    </row>
    <row r="2">
      <c r="A2" s="279" t="s">
        <v>470</v>
      </c>
      <c r="I2" s="121"/>
      <c r="J2" s="278"/>
      <c r="K2" s="278"/>
      <c r="L2" s="278"/>
      <c r="M2" s="278"/>
      <c r="N2" s="278"/>
      <c r="O2" s="278"/>
      <c r="P2" s="278"/>
      <c r="Q2" s="278"/>
      <c r="R2" s="278"/>
    </row>
    <row r="3">
      <c r="A3" s="280"/>
      <c r="B3" s="281"/>
      <c r="C3" s="281"/>
      <c r="D3" s="281"/>
      <c r="E3" s="281"/>
      <c r="F3" s="281"/>
      <c r="G3" s="278"/>
      <c r="H3" s="278"/>
      <c r="I3" s="278"/>
      <c r="J3" s="278"/>
      <c r="K3" s="278"/>
      <c r="L3" s="278"/>
      <c r="M3" s="278"/>
      <c r="N3" s="278"/>
      <c r="O3" s="278"/>
      <c r="P3" s="278"/>
      <c r="Q3" s="278"/>
      <c r="R3" s="278"/>
    </row>
    <row r="4">
      <c r="A4" s="282" t="s">
        <v>156</v>
      </c>
      <c r="B4" s="283" t="s">
        <v>137</v>
      </c>
      <c r="C4" s="283" t="s">
        <v>138</v>
      </c>
      <c r="D4" s="283" t="s">
        <v>139</v>
      </c>
      <c r="E4" s="283" t="s">
        <v>140</v>
      </c>
      <c r="F4" s="283" t="s">
        <v>141</v>
      </c>
      <c r="G4" s="198" t="s">
        <v>142</v>
      </c>
      <c r="H4" s="198" t="s">
        <v>143</v>
      </c>
      <c r="I4" s="278"/>
      <c r="J4" s="278"/>
      <c r="K4" s="278"/>
      <c r="L4" s="278"/>
      <c r="M4" s="278"/>
      <c r="N4" s="278"/>
      <c r="O4" s="278"/>
      <c r="P4" s="278"/>
      <c r="Q4" s="278"/>
      <c r="R4" s="278"/>
    </row>
    <row r="5">
      <c r="A5" s="284"/>
      <c r="B5" s="285"/>
      <c r="C5" s="286"/>
      <c r="D5" s="286"/>
      <c r="E5" s="286"/>
      <c r="F5" s="286"/>
      <c r="G5" s="286"/>
      <c r="H5" s="286"/>
      <c r="I5" s="278"/>
      <c r="J5" s="278"/>
      <c r="K5" s="278"/>
      <c r="L5" s="278"/>
      <c r="M5" s="278"/>
      <c r="N5" s="278"/>
      <c r="O5" s="278"/>
      <c r="P5" s="278"/>
      <c r="Q5" s="278"/>
      <c r="R5" s="278"/>
    </row>
    <row r="6">
      <c r="A6" s="287" t="s">
        <v>471</v>
      </c>
      <c r="B6" s="288"/>
      <c r="C6" s="288"/>
      <c r="D6" s="288"/>
      <c r="E6" s="288"/>
      <c r="F6" s="288"/>
      <c r="G6" s="288"/>
      <c r="H6" s="288"/>
      <c r="I6" s="278"/>
      <c r="J6" s="278"/>
      <c r="K6" s="278"/>
      <c r="L6" s="278"/>
      <c r="M6" s="278"/>
      <c r="N6" s="278"/>
      <c r="O6" s="278"/>
      <c r="P6" s="278"/>
      <c r="Q6" s="278"/>
      <c r="R6" s="278"/>
    </row>
    <row r="7">
      <c r="A7" s="289" t="s">
        <v>472</v>
      </c>
      <c r="B7" s="290"/>
      <c r="C7" s="290"/>
      <c r="D7" s="290"/>
      <c r="E7" s="290"/>
      <c r="F7" s="290"/>
      <c r="G7" s="290"/>
      <c r="H7" s="290"/>
      <c r="I7" s="278"/>
      <c r="J7" s="278"/>
      <c r="K7" s="278"/>
      <c r="L7" s="278"/>
      <c r="M7" s="278"/>
      <c r="N7" s="278"/>
      <c r="O7" s="278"/>
      <c r="P7" s="278"/>
      <c r="Q7" s="278"/>
      <c r="R7" s="278"/>
    </row>
    <row r="8">
      <c r="A8" s="289" t="s">
        <v>473</v>
      </c>
      <c r="B8" s="291" t="str">
        <f>'8.Cash Flow '!C33</f>
        <v>5,053,132</v>
      </c>
      <c r="C8" s="291" t="str">
        <f>'8.Cash Flow '!D33</f>
        <v>8,537,285</v>
      </c>
      <c r="D8" s="291" t="str">
        <f>'8.Cash Flow '!E33</f>
        <v>12,755,278</v>
      </c>
      <c r="E8" s="291" t="str">
        <f>'8.Cash Flow '!F33</f>
        <v>17,804,042</v>
      </c>
      <c r="F8" s="291" t="str">
        <f>'8.Cash Flow '!G33</f>
        <v>23,765,929</v>
      </c>
      <c r="G8" s="291" t="str">
        <f>'8.Cash Flow '!H33</f>
        <v>30,665,335</v>
      </c>
      <c r="H8" s="291" t="str">
        <f>'8.Cash Flow '!I33</f>
        <v>38,650,454</v>
      </c>
      <c r="I8" s="278"/>
      <c r="J8" s="278"/>
      <c r="K8" s="292"/>
      <c r="L8" s="292"/>
      <c r="M8" s="292"/>
      <c r="N8" s="292"/>
      <c r="O8" s="292"/>
      <c r="P8" s="292"/>
      <c r="Q8" s="292"/>
      <c r="R8" s="292"/>
    </row>
    <row r="9">
      <c r="A9" s="293" t="s">
        <v>474</v>
      </c>
      <c r="B9" s="294"/>
      <c r="C9" s="294"/>
      <c r="D9" s="294"/>
      <c r="E9" s="294"/>
      <c r="F9" s="294"/>
      <c r="G9" s="294"/>
      <c r="H9" s="294"/>
      <c r="I9" s="278"/>
      <c r="J9" s="278"/>
      <c r="K9" s="292"/>
      <c r="L9" s="292"/>
      <c r="M9" s="292"/>
      <c r="N9" s="292"/>
      <c r="O9" s="292"/>
      <c r="P9" s="292"/>
      <c r="Q9" s="292"/>
      <c r="R9" s="292"/>
    </row>
    <row r="10">
      <c r="A10" s="293" t="s">
        <v>475</v>
      </c>
      <c r="B10" s="294"/>
      <c r="C10" s="294"/>
      <c r="D10" s="294"/>
      <c r="E10" s="294"/>
      <c r="F10" s="294"/>
      <c r="G10" s="294"/>
      <c r="H10" s="294"/>
      <c r="I10" s="278"/>
      <c r="J10" s="278"/>
      <c r="K10" s="292"/>
      <c r="L10" s="292"/>
      <c r="M10" s="292"/>
      <c r="N10" s="292"/>
      <c r="O10" s="292"/>
      <c r="P10" s="292"/>
      <c r="Q10" s="292"/>
      <c r="R10" s="292"/>
    </row>
    <row r="11">
      <c r="A11" s="289" t="s">
        <v>476</v>
      </c>
      <c r="B11" s="291" t="str">
        <f t="shared" ref="B11:H11" si="1">SUM(B8:B10)</f>
        <v>5,053,132</v>
      </c>
      <c r="C11" s="291" t="str">
        <f t="shared" si="1"/>
        <v>8,537,285</v>
      </c>
      <c r="D11" s="291" t="str">
        <f t="shared" si="1"/>
        <v>12,755,278</v>
      </c>
      <c r="E11" s="291" t="str">
        <f t="shared" si="1"/>
        <v>17,804,042</v>
      </c>
      <c r="F11" s="291" t="str">
        <f t="shared" si="1"/>
        <v>23,765,929</v>
      </c>
      <c r="G11" s="291" t="str">
        <f t="shared" si="1"/>
        <v>30,665,335</v>
      </c>
      <c r="H11" s="291" t="str">
        <f t="shared" si="1"/>
        <v>38,650,454</v>
      </c>
      <c r="I11" s="278"/>
      <c r="J11" s="278"/>
      <c r="K11" s="278"/>
      <c r="L11" s="278"/>
      <c r="M11" s="278"/>
      <c r="N11" s="278"/>
      <c r="O11" s="278"/>
      <c r="P11" s="278"/>
      <c r="Q11" s="278"/>
      <c r="R11" s="278"/>
    </row>
    <row r="12">
      <c r="A12" s="289"/>
      <c r="B12" s="294"/>
      <c r="C12" s="294"/>
      <c r="D12" s="294"/>
      <c r="E12" s="294"/>
      <c r="F12" s="294"/>
      <c r="G12" s="294"/>
      <c r="H12" s="294"/>
      <c r="I12" s="278"/>
      <c r="J12" s="292"/>
      <c r="K12" s="292"/>
      <c r="L12" s="292"/>
      <c r="M12" s="292"/>
      <c r="N12" s="292"/>
      <c r="O12" s="292"/>
      <c r="P12" s="292"/>
      <c r="Q12" s="292"/>
      <c r="R12" s="278"/>
    </row>
    <row r="13">
      <c r="A13" s="293" t="s">
        <v>477</v>
      </c>
      <c r="B13" s="294" t="str">
        <f>'3.Other Exp &amp; Taxes'!C65</f>
        <v>25,691,580</v>
      </c>
      <c r="C13" s="294" t="str">
        <f>'3.Other Exp &amp; Taxes'!D65</f>
        <v>24,606,213</v>
      </c>
      <c r="D13" s="294" t="str">
        <f>'3.Other Exp &amp; Taxes'!E65</f>
        <v>23,520,846</v>
      </c>
      <c r="E13" s="294" t="str">
        <f>'3.Other Exp &amp; Taxes'!F65</f>
        <v>22,435,478</v>
      </c>
      <c r="F13" s="294" t="str">
        <f>'3.Other Exp &amp; Taxes'!G65</f>
        <v>21,350,111</v>
      </c>
      <c r="G13" s="294" t="str">
        <f>'3.Other Exp &amp; Taxes'!H65</f>
        <v>20,264,744</v>
      </c>
      <c r="H13" s="294" t="str">
        <f>'3.Other Exp &amp; Taxes'!I65</f>
        <v>19,179,377</v>
      </c>
      <c r="I13" s="278"/>
      <c r="J13" s="278"/>
      <c r="K13" s="278"/>
      <c r="L13" s="278"/>
      <c r="M13" s="278"/>
      <c r="N13" s="278"/>
      <c r="O13" s="278"/>
      <c r="P13" s="278"/>
      <c r="Q13" s="278"/>
      <c r="R13" s="278"/>
    </row>
    <row r="14">
      <c r="A14" s="293" t="s">
        <v>478</v>
      </c>
      <c r="B14" s="294" t="str">
        <f>'3.Other Exp &amp; Taxes'!C66</f>
        <v>1,085,367</v>
      </c>
      <c r="C14" s="294" t="str">
        <f>'3.Other Exp &amp; Taxes'!D66</f>
        <v>1,085,367</v>
      </c>
      <c r="D14" s="294" t="str">
        <f>'3.Other Exp &amp; Taxes'!E66</f>
        <v>1,085,367</v>
      </c>
      <c r="E14" s="294" t="str">
        <f>'3.Other Exp &amp; Taxes'!F66</f>
        <v>1,085,367</v>
      </c>
      <c r="F14" s="294" t="str">
        <f>'3.Other Exp &amp; Taxes'!G66</f>
        <v>1,085,367</v>
      </c>
      <c r="G14" s="294" t="str">
        <f>'3.Other Exp &amp; Taxes'!H66</f>
        <v>1,085,367</v>
      </c>
      <c r="H14" s="294" t="str">
        <f>'3.Other Exp &amp; Taxes'!I66</f>
        <v>1,085,367</v>
      </c>
      <c r="I14" s="278"/>
      <c r="J14" s="278"/>
      <c r="K14" s="292"/>
      <c r="L14" s="292"/>
      <c r="M14" s="292"/>
      <c r="N14" s="292"/>
      <c r="O14" s="292"/>
      <c r="P14" s="292"/>
      <c r="Q14" s="292"/>
      <c r="R14" s="278"/>
    </row>
    <row r="15">
      <c r="A15" s="289" t="s">
        <v>280</v>
      </c>
      <c r="B15" s="291" t="str">
        <f t="shared" ref="B15:H15" si="2">B13-B14</f>
        <v>24,606,213</v>
      </c>
      <c r="C15" s="291" t="str">
        <f t="shared" si="2"/>
        <v>23,520,846</v>
      </c>
      <c r="D15" s="291" t="str">
        <f t="shared" si="2"/>
        <v>22,435,478</v>
      </c>
      <c r="E15" s="291" t="str">
        <f t="shared" si="2"/>
        <v>21,350,111</v>
      </c>
      <c r="F15" s="291" t="str">
        <f t="shared" si="2"/>
        <v>20,264,744</v>
      </c>
      <c r="G15" s="291" t="str">
        <f t="shared" si="2"/>
        <v>19,179,377</v>
      </c>
      <c r="H15" s="291" t="str">
        <f t="shared" si="2"/>
        <v>18,094,010</v>
      </c>
      <c r="I15" s="281"/>
      <c r="J15" s="281"/>
      <c r="K15" s="281"/>
      <c r="L15" s="281"/>
      <c r="M15" s="281"/>
      <c r="N15" s="281"/>
      <c r="O15" s="281"/>
      <c r="P15" s="281"/>
      <c r="Q15" s="281"/>
      <c r="R15" s="281"/>
    </row>
    <row r="16">
      <c r="A16" s="289"/>
      <c r="B16" s="291"/>
      <c r="C16" s="291"/>
      <c r="D16" s="291"/>
      <c r="E16" s="291"/>
      <c r="F16" s="291"/>
      <c r="G16" s="291"/>
      <c r="H16" s="291"/>
      <c r="I16" s="281"/>
      <c r="J16" s="281"/>
      <c r="K16" s="281"/>
      <c r="L16" s="281"/>
      <c r="M16" s="281"/>
      <c r="N16" s="281"/>
      <c r="O16" s="281"/>
      <c r="P16" s="281"/>
      <c r="Q16" s="281"/>
      <c r="R16" s="281"/>
    </row>
    <row r="17">
      <c r="A17" s="295"/>
      <c r="B17" s="291"/>
      <c r="C17" s="291"/>
      <c r="D17" s="291"/>
      <c r="E17" s="291"/>
      <c r="F17" s="291"/>
      <c r="G17" s="291"/>
      <c r="H17" s="291"/>
      <c r="I17" s="281"/>
      <c r="J17" s="281"/>
      <c r="K17" s="281"/>
      <c r="L17" s="281"/>
      <c r="M17" s="281"/>
      <c r="N17" s="281"/>
      <c r="O17" s="281"/>
      <c r="P17" s="281"/>
      <c r="Q17" s="281"/>
      <c r="R17" s="281"/>
    </row>
    <row r="18">
      <c r="A18" s="289" t="s">
        <v>479</v>
      </c>
      <c r="B18" s="291" t="str">
        <f>'8.Cash Flow '!C20-'6.Cons Profit &amp; Loss'!B43</f>
        <v>930,170</v>
      </c>
      <c r="C18" s="291" t="str">
        <f>B18-'6.Cons Profit &amp; Loss'!C43</f>
        <v>697,628</v>
      </c>
      <c r="D18" s="291" t="str">
        <f>C18-'6.Cons Profit &amp; Loss'!D43</f>
        <v>465,085</v>
      </c>
      <c r="E18" s="291" t="str">
        <f>D18-'6.Cons Profit &amp; Loss'!E43</f>
        <v>232,543</v>
      </c>
      <c r="F18" s="291" t="str">
        <f>E18-'6.Cons Profit &amp; Loss'!F43</f>
        <v>0</v>
      </c>
      <c r="G18" s="291" t="str">
        <f>F18-'6.Cons Profit &amp; Loss'!G43</f>
        <v>0</v>
      </c>
      <c r="H18" s="291" t="str">
        <f>G18-'6.Cons Profit &amp; Loss'!H43</f>
        <v>0</v>
      </c>
      <c r="I18" s="281"/>
      <c r="J18" s="281"/>
      <c r="K18" s="281"/>
      <c r="L18" s="281"/>
      <c r="M18" s="281"/>
      <c r="N18" s="281"/>
      <c r="O18" s="281"/>
      <c r="P18" s="281"/>
      <c r="Q18" s="281"/>
      <c r="R18" s="281"/>
    </row>
    <row r="19">
      <c r="A19" s="293"/>
      <c r="B19" s="294"/>
      <c r="C19" s="294"/>
      <c r="D19" s="294"/>
      <c r="E19" s="294"/>
      <c r="F19" s="294"/>
      <c r="G19" s="294"/>
      <c r="H19" s="294"/>
      <c r="I19" s="278"/>
      <c r="J19" s="278"/>
      <c r="K19" s="278"/>
      <c r="L19" s="278"/>
      <c r="M19" s="278"/>
      <c r="N19" s="278"/>
      <c r="O19" s="278"/>
      <c r="P19" s="278"/>
      <c r="Q19" s="278"/>
      <c r="R19" s="278"/>
    </row>
    <row r="20">
      <c r="A20" s="295" t="s">
        <v>480</v>
      </c>
      <c r="B20" s="291" t="str">
        <f t="shared" ref="B20:H20" si="3">B11+B15+B17+B18</f>
        <v>30,589,515</v>
      </c>
      <c r="C20" s="291" t="str">
        <f t="shared" si="3"/>
        <v>32,755,759</v>
      </c>
      <c r="D20" s="291" t="str">
        <f t="shared" si="3"/>
        <v>35,655,842</v>
      </c>
      <c r="E20" s="291" t="str">
        <f t="shared" si="3"/>
        <v>39,386,695</v>
      </c>
      <c r="F20" s="291" t="str">
        <f t="shared" si="3"/>
        <v>44,030,673</v>
      </c>
      <c r="G20" s="291" t="str">
        <f t="shared" si="3"/>
        <v>49,844,712</v>
      </c>
      <c r="H20" s="291" t="str">
        <f t="shared" si="3"/>
        <v>56,744,463</v>
      </c>
      <c r="I20" s="278"/>
      <c r="J20" s="278"/>
      <c r="K20" s="278"/>
      <c r="L20" s="278"/>
      <c r="M20" s="278"/>
      <c r="N20" s="278"/>
      <c r="O20" s="278"/>
      <c r="P20" s="278"/>
      <c r="Q20" s="278"/>
      <c r="R20" s="278"/>
    </row>
    <row r="21">
      <c r="A21" s="284"/>
      <c r="B21" s="294"/>
      <c r="C21" s="294"/>
      <c r="D21" s="294"/>
      <c r="E21" s="294"/>
      <c r="F21" s="294"/>
      <c r="G21" s="294"/>
      <c r="H21" s="294"/>
      <c r="I21" s="278"/>
      <c r="J21" s="278"/>
      <c r="K21" s="278"/>
      <c r="L21" s="278"/>
      <c r="M21" s="278"/>
      <c r="N21" s="278"/>
      <c r="O21" s="278"/>
      <c r="P21" s="278"/>
      <c r="Q21" s="278"/>
      <c r="R21" s="278"/>
    </row>
    <row r="22">
      <c r="A22" s="287" t="s">
        <v>481</v>
      </c>
      <c r="B22" s="296"/>
      <c r="C22" s="296"/>
      <c r="D22" s="296"/>
      <c r="E22" s="296"/>
      <c r="F22" s="296"/>
      <c r="G22" s="296"/>
      <c r="H22" s="296"/>
      <c r="I22" s="278"/>
      <c r="J22" s="278"/>
      <c r="K22" s="278"/>
      <c r="L22" s="278"/>
      <c r="M22" s="278"/>
      <c r="N22" s="278"/>
      <c r="O22" s="278"/>
      <c r="P22" s="278"/>
      <c r="Q22" s="278"/>
      <c r="R22" s="278"/>
    </row>
    <row r="23">
      <c r="A23" s="289" t="s">
        <v>482</v>
      </c>
      <c r="B23" s="296"/>
      <c r="C23" s="296"/>
      <c r="D23" s="296"/>
      <c r="E23" s="296"/>
      <c r="F23" s="296"/>
      <c r="G23" s="296"/>
      <c r="H23" s="296"/>
      <c r="I23" s="278"/>
      <c r="J23" s="278"/>
      <c r="K23" s="278"/>
      <c r="L23" s="278"/>
      <c r="M23" s="278"/>
      <c r="N23" s="278"/>
      <c r="O23" s="278"/>
      <c r="P23" s="278"/>
      <c r="Q23" s="278"/>
      <c r="R23" s="278"/>
    </row>
    <row r="24">
      <c r="A24" s="293" t="s">
        <v>483</v>
      </c>
      <c r="B24" s="291"/>
      <c r="C24" s="291"/>
      <c r="D24" s="291"/>
      <c r="E24" s="291"/>
      <c r="F24" s="291"/>
      <c r="G24" s="291"/>
      <c r="H24" s="291"/>
      <c r="I24" s="278"/>
      <c r="J24" s="278"/>
      <c r="K24" s="278"/>
      <c r="L24" s="278"/>
      <c r="M24" s="278"/>
      <c r="N24" s="278"/>
      <c r="O24" s="278"/>
      <c r="P24" s="278"/>
      <c r="Q24" s="278"/>
      <c r="R24" s="278"/>
    </row>
    <row r="25">
      <c r="A25" s="293" t="s">
        <v>484</v>
      </c>
      <c r="B25" s="294"/>
      <c r="C25" s="294"/>
      <c r="D25" s="294"/>
      <c r="E25" s="294"/>
      <c r="F25" s="294"/>
      <c r="G25" s="294"/>
      <c r="H25" s="294"/>
      <c r="I25" s="278"/>
      <c r="J25" s="278"/>
      <c r="K25" s="278"/>
      <c r="L25" s="278"/>
      <c r="M25" s="278"/>
      <c r="N25" s="278"/>
      <c r="O25" s="278"/>
      <c r="P25" s="278"/>
      <c r="Q25" s="278"/>
      <c r="R25" s="278"/>
    </row>
    <row r="26">
      <c r="A26" s="293" t="s">
        <v>485</v>
      </c>
      <c r="B26" s="291"/>
      <c r="C26" s="291"/>
      <c r="D26" s="291"/>
      <c r="E26" s="291"/>
      <c r="F26" s="291"/>
      <c r="G26" s="291"/>
      <c r="H26" s="291"/>
      <c r="I26" s="278"/>
      <c r="J26" s="278"/>
      <c r="K26" s="278"/>
      <c r="L26" s="278"/>
      <c r="M26" s="278"/>
      <c r="N26" s="278"/>
      <c r="O26" s="278"/>
      <c r="P26" s="278"/>
      <c r="Q26" s="278"/>
      <c r="R26" s="278"/>
    </row>
    <row r="27">
      <c r="A27" s="289" t="s">
        <v>486</v>
      </c>
      <c r="B27" s="291" t="str">
        <f t="shared" ref="B27:H27" si="4">SUM(B24:B26)</f>
        <v>0</v>
      </c>
      <c r="C27" s="291" t="str">
        <f t="shared" si="4"/>
        <v>0</v>
      </c>
      <c r="D27" s="291" t="str">
        <f t="shared" si="4"/>
        <v>0</v>
      </c>
      <c r="E27" s="291" t="str">
        <f t="shared" si="4"/>
        <v>0</v>
      </c>
      <c r="F27" s="291" t="str">
        <f t="shared" si="4"/>
        <v>0</v>
      </c>
      <c r="G27" s="291" t="str">
        <f t="shared" si="4"/>
        <v>0</v>
      </c>
      <c r="H27" s="291" t="str">
        <f t="shared" si="4"/>
        <v>0</v>
      </c>
      <c r="I27" s="278"/>
      <c r="J27" s="278"/>
      <c r="K27" s="278"/>
      <c r="L27" s="278"/>
      <c r="M27" s="278"/>
      <c r="N27" s="278"/>
      <c r="O27" s="278"/>
      <c r="P27" s="278"/>
      <c r="Q27" s="278"/>
      <c r="R27" s="278"/>
    </row>
    <row r="28">
      <c r="A28" s="289" t="s">
        <v>487</v>
      </c>
      <c r="B28" s="291" t="str">
        <f>'4.TL repayment sch'!G21</f>
        <v>7,329,905</v>
      </c>
      <c r="C28" s="291" t="str">
        <f>'4.TL repayment sch'!G33</f>
        <v>6,491,168</v>
      </c>
      <c r="D28" s="291" t="str">
        <f>'4.TL repayment sch'!G45</f>
        <v>5,527,171</v>
      </c>
      <c r="E28" s="291" t="str">
        <f>'4.TL repayment sch'!G57</f>
        <v>4,419,210</v>
      </c>
      <c r="F28" s="291" t="str">
        <f>'4.TL repayment sch'!G69</f>
        <v>3,145,783</v>
      </c>
      <c r="G28" s="291" t="str">
        <f>'4.TL repayment sch'!G81</f>
        <v>1,682,180</v>
      </c>
      <c r="H28" s="291" t="str">
        <f>'[1]Term Loan'!J72+'[1]Term Loan'!S72</f>
        <v>#REF!</v>
      </c>
      <c r="I28" s="278"/>
      <c r="J28" s="278"/>
      <c r="K28" s="278"/>
      <c r="L28" s="278"/>
      <c r="M28" s="278"/>
      <c r="N28" s="278"/>
      <c r="O28" s="278"/>
      <c r="P28" s="278"/>
      <c r="Q28" s="278"/>
      <c r="R28" s="278"/>
    </row>
    <row r="29">
      <c r="A29" s="289" t="s">
        <v>488</v>
      </c>
      <c r="B29" s="291"/>
      <c r="C29" s="291"/>
      <c r="D29" s="291"/>
      <c r="E29" s="291"/>
      <c r="F29" s="291"/>
      <c r="G29" s="291"/>
      <c r="H29" s="291"/>
      <c r="I29" s="278"/>
      <c r="J29" s="278"/>
      <c r="K29" s="278"/>
      <c r="L29" s="278"/>
      <c r="M29" s="278"/>
      <c r="N29" s="278"/>
      <c r="O29" s="278"/>
      <c r="P29" s="278"/>
      <c r="Q29" s="278"/>
      <c r="R29" s="278"/>
    </row>
    <row r="30">
      <c r="A30" s="289"/>
      <c r="B30" s="297"/>
      <c r="C30" s="297"/>
      <c r="D30" s="297"/>
      <c r="E30" s="297"/>
      <c r="F30" s="297"/>
      <c r="G30" s="297"/>
      <c r="H30" s="297"/>
      <c r="I30" s="278"/>
      <c r="J30" s="278"/>
      <c r="K30" s="278"/>
      <c r="L30" s="278"/>
      <c r="M30" s="278"/>
      <c r="N30" s="278"/>
      <c r="O30" s="278"/>
      <c r="P30" s="278"/>
      <c r="Q30" s="278"/>
      <c r="R30" s="278"/>
    </row>
    <row r="31">
      <c r="A31" s="295" t="s">
        <v>489</v>
      </c>
      <c r="B31" s="291" t="str">
        <f t="shared" ref="B31:H31" si="5">SUM(B27:B29)</f>
        <v>7,329,905</v>
      </c>
      <c r="C31" s="291" t="str">
        <f t="shared" si="5"/>
        <v>6,491,168</v>
      </c>
      <c r="D31" s="291" t="str">
        <f t="shared" si="5"/>
        <v>5,527,171</v>
      </c>
      <c r="E31" s="291" t="str">
        <f t="shared" si="5"/>
        <v>4,419,210</v>
      </c>
      <c r="F31" s="291" t="str">
        <f t="shared" si="5"/>
        <v>3,145,783</v>
      </c>
      <c r="G31" s="291" t="str">
        <f t="shared" si="5"/>
        <v>1,682,180</v>
      </c>
      <c r="H31" s="291" t="str">
        <f t="shared" si="5"/>
        <v>#REF!</v>
      </c>
      <c r="I31" s="278"/>
      <c r="J31" s="278"/>
      <c r="K31" s="278"/>
      <c r="L31" s="278"/>
      <c r="M31" s="278"/>
      <c r="N31" s="278"/>
      <c r="O31" s="278"/>
      <c r="P31" s="278"/>
      <c r="Q31" s="278"/>
      <c r="R31" s="278"/>
    </row>
    <row r="32">
      <c r="A32" s="284"/>
      <c r="B32" s="294"/>
      <c r="C32" s="294"/>
      <c r="D32" s="294"/>
      <c r="E32" s="294"/>
      <c r="F32" s="294"/>
      <c r="G32" s="294"/>
      <c r="H32" s="294"/>
      <c r="I32" s="278"/>
      <c r="J32" s="278"/>
      <c r="K32" s="278"/>
      <c r="L32" s="278"/>
      <c r="M32" s="278"/>
      <c r="N32" s="278"/>
      <c r="O32" s="278"/>
      <c r="P32" s="278"/>
      <c r="Q32" s="278"/>
      <c r="R32" s="278"/>
    </row>
    <row r="33">
      <c r="A33" s="293" t="s">
        <v>490</v>
      </c>
      <c r="B33" s="294" t="str">
        <f>'1.Project Cost and MOF'!E21</f>
        <v>4,510,173</v>
      </c>
      <c r="C33" s="294" t="str">
        <f t="shared" ref="C33:H33" si="6">B33</f>
        <v>4,510,173</v>
      </c>
      <c r="D33" s="294" t="str">
        <f t="shared" si="6"/>
        <v>4,510,173</v>
      </c>
      <c r="E33" s="294" t="str">
        <f t="shared" si="6"/>
        <v>4,510,173</v>
      </c>
      <c r="F33" s="294" t="str">
        <f t="shared" si="6"/>
        <v>4,510,173</v>
      </c>
      <c r="G33" s="294" t="str">
        <f t="shared" si="6"/>
        <v>4,510,173</v>
      </c>
      <c r="H33" s="294" t="str">
        <f t="shared" si="6"/>
        <v>4,510,173</v>
      </c>
      <c r="I33" s="278"/>
      <c r="J33" s="278"/>
      <c r="K33" s="278"/>
      <c r="L33" s="278"/>
      <c r="M33" s="278"/>
      <c r="N33" s="278"/>
      <c r="O33" s="278"/>
      <c r="P33" s="278"/>
      <c r="Q33" s="278"/>
      <c r="R33" s="278"/>
    </row>
    <row r="34">
      <c r="A34" s="293" t="s">
        <v>491</v>
      </c>
      <c r="B34" s="294" t="str">
        <f>'1.Project Cost and MOF'!E19</f>
        <v>16,112,576</v>
      </c>
      <c r="C34" s="294" t="str">
        <f t="shared" ref="C34:H34" si="7">B34</f>
        <v>16,112,576</v>
      </c>
      <c r="D34" s="294" t="str">
        <f t="shared" si="7"/>
        <v>16,112,576</v>
      </c>
      <c r="E34" s="294" t="str">
        <f t="shared" si="7"/>
        <v>16,112,576</v>
      </c>
      <c r="F34" s="294" t="str">
        <f t="shared" si="7"/>
        <v>16,112,576</v>
      </c>
      <c r="G34" s="294" t="str">
        <f t="shared" si="7"/>
        <v>16,112,576</v>
      </c>
      <c r="H34" s="294" t="str">
        <f t="shared" si="7"/>
        <v>16,112,576</v>
      </c>
      <c r="I34" s="278"/>
      <c r="J34" s="278"/>
      <c r="K34" s="278"/>
      <c r="L34" s="278"/>
      <c r="M34" s="278"/>
      <c r="N34" s="278"/>
      <c r="O34" s="278"/>
      <c r="P34" s="278"/>
      <c r="Q34" s="278"/>
      <c r="R34" s="278"/>
    </row>
    <row r="35">
      <c r="A35" s="289" t="s">
        <v>492</v>
      </c>
      <c r="B35" s="294"/>
      <c r="C35" s="294"/>
      <c r="D35" s="294"/>
      <c r="E35" s="294"/>
      <c r="F35" s="294"/>
      <c r="G35" s="294"/>
      <c r="H35" s="294"/>
      <c r="I35" s="278"/>
      <c r="J35" s="278"/>
      <c r="K35" s="278"/>
      <c r="L35" s="278"/>
      <c r="M35" s="278"/>
      <c r="N35" s="278"/>
      <c r="O35" s="278"/>
      <c r="P35" s="278"/>
      <c r="Q35" s="278"/>
      <c r="R35" s="278"/>
    </row>
    <row r="36">
      <c r="A36" s="293" t="s">
        <v>493</v>
      </c>
      <c r="B36" s="294">
        <v>0.0</v>
      </c>
      <c r="C36" s="294" t="str">
        <f t="shared" ref="C36:H36" si="8">B39</f>
        <v>2,636,861</v>
      </c>
      <c r="D36" s="294" t="str">
        <f t="shared" si="8"/>
        <v>5,641,842</v>
      </c>
      <c r="E36" s="294" t="str">
        <f t="shared" si="8"/>
        <v>9,505,922</v>
      </c>
      <c r="F36" s="294" t="str">
        <f t="shared" si="8"/>
        <v>14,344,736</v>
      </c>
      <c r="G36" s="294" t="str">
        <f t="shared" si="8"/>
        <v>20,262,141</v>
      </c>
      <c r="H36" s="294" t="str">
        <f t="shared" si="8"/>
        <v>27,539,782</v>
      </c>
      <c r="I36" s="278"/>
      <c r="J36" s="278"/>
      <c r="K36" s="278"/>
      <c r="L36" s="278"/>
      <c r="M36" s="278"/>
      <c r="N36" s="278"/>
      <c r="O36" s="278"/>
      <c r="P36" s="278"/>
      <c r="Q36" s="278"/>
      <c r="R36" s="278"/>
    </row>
    <row r="37">
      <c r="A37" s="293" t="s">
        <v>494</v>
      </c>
      <c r="B37" s="294" t="str">
        <f>'6.Cons Profit &amp; Loss'!B53</f>
        <v>2,636,861</v>
      </c>
      <c r="C37" s="294" t="str">
        <f>'6.Cons Profit &amp; Loss'!C51</f>
        <v>3,004,981</v>
      </c>
      <c r="D37" s="294" t="str">
        <f>'6.Cons Profit &amp; Loss'!D51</f>
        <v>3,864,079</v>
      </c>
      <c r="E37" s="294" t="str">
        <f>'6.Cons Profit &amp; Loss'!E51</f>
        <v>4,838,815</v>
      </c>
      <c r="F37" s="294" t="str">
        <f>'6.Cons Profit &amp; Loss'!F51</f>
        <v>5,917,404</v>
      </c>
      <c r="G37" s="294" t="str">
        <f>'6.Cons Profit &amp; Loss'!G51</f>
        <v>7,277,642</v>
      </c>
      <c r="H37" s="294" t="str">
        <f>'6.Cons Profit &amp; Loss'!H51</f>
        <v>8,581,932</v>
      </c>
      <c r="I37" s="278"/>
      <c r="J37" s="278"/>
      <c r="K37" s="278"/>
      <c r="L37" s="278"/>
      <c r="M37" s="278"/>
      <c r="N37" s="278"/>
      <c r="O37" s="278"/>
      <c r="P37" s="278"/>
      <c r="Q37" s="278"/>
      <c r="R37" s="278"/>
    </row>
    <row r="38">
      <c r="A38" s="293" t="s">
        <v>495</v>
      </c>
      <c r="B38" s="294"/>
      <c r="C38" s="294"/>
      <c r="D38" s="294"/>
      <c r="E38" s="294"/>
      <c r="F38" s="294"/>
      <c r="G38" s="294"/>
      <c r="H38" s="294"/>
      <c r="I38" s="278"/>
      <c r="J38" s="278"/>
      <c r="K38" s="278"/>
      <c r="L38" s="278"/>
      <c r="M38" s="278"/>
      <c r="N38" s="278"/>
      <c r="O38" s="278"/>
      <c r="P38" s="278"/>
      <c r="Q38" s="278"/>
      <c r="R38" s="278"/>
    </row>
    <row r="39">
      <c r="A39" s="293" t="s">
        <v>496</v>
      </c>
      <c r="B39" s="294" t="str">
        <f t="shared" ref="B39:H39" si="9">B36+B37-B38</f>
        <v>2,636,861</v>
      </c>
      <c r="C39" s="294" t="str">
        <f t="shared" si="9"/>
        <v>5,641,842</v>
      </c>
      <c r="D39" s="294" t="str">
        <f t="shared" si="9"/>
        <v>9,505,922</v>
      </c>
      <c r="E39" s="294" t="str">
        <f t="shared" si="9"/>
        <v>14,344,736</v>
      </c>
      <c r="F39" s="294" t="str">
        <f t="shared" si="9"/>
        <v>20,262,141</v>
      </c>
      <c r="G39" s="294" t="str">
        <f t="shared" si="9"/>
        <v>27,539,782</v>
      </c>
      <c r="H39" s="294" t="str">
        <f t="shared" si="9"/>
        <v>36,121,714</v>
      </c>
      <c r="I39" s="278"/>
      <c r="J39" s="278"/>
      <c r="K39" s="278"/>
      <c r="L39" s="278"/>
      <c r="M39" s="278"/>
      <c r="N39" s="278"/>
      <c r="O39" s="278"/>
      <c r="P39" s="278"/>
      <c r="Q39" s="278"/>
      <c r="R39" s="278"/>
    </row>
    <row r="40">
      <c r="A40" s="293"/>
      <c r="B40" s="296"/>
      <c r="C40" s="296"/>
      <c r="D40" s="296"/>
      <c r="E40" s="296"/>
      <c r="F40" s="296"/>
      <c r="G40" s="296"/>
      <c r="H40" s="296"/>
      <c r="I40" s="278"/>
      <c r="J40" s="278"/>
      <c r="K40" s="278"/>
      <c r="L40" s="278"/>
      <c r="M40" s="278"/>
      <c r="N40" s="278"/>
      <c r="O40" s="278"/>
      <c r="P40" s="278"/>
      <c r="Q40" s="278"/>
      <c r="R40" s="278"/>
    </row>
    <row r="41">
      <c r="A41" s="298" t="s">
        <v>497</v>
      </c>
      <c r="B41" s="299" t="str">
        <f t="shared" ref="B41:H41" si="10">B33+B39+B34</f>
        <v>23,259,610</v>
      </c>
      <c r="C41" s="299" t="str">
        <f t="shared" si="10"/>
        <v>26,264,591</v>
      </c>
      <c r="D41" s="299" t="str">
        <f t="shared" si="10"/>
        <v>30,128,671</v>
      </c>
      <c r="E41" s="299" t="str">
        <f t="shared" si="10"/>
        <v>34,967,486</v>
      </c>
      <c r="F41" s="299" t="str">
        <f t="shared" si="10"/>
        <v>40,884,890</v>
      </c>
      <c r="G41" s="299" t="str">
        <f t="shared" si="10"/>
        <v>48,162,532</v>
      </c>
      <c r="H41" s="299" t="str">
        <f t="shared" si="10"/>
        <v>56,744,463</v>
      </c>
      <c r="I41" s="278"/>
      <c r="J41" s="278"/>
      <c r="K41" s="278"/>
      <c r="L41" s="278"/>
      <c r="M41" s="278"/>
      <c r="N41" s="278"/>
      <c r="O41" s="278"/>
      <c r="P41" s="278"/>
      <c r="Q41" s="278"/>
      <c r="R41" s="278"/>
    </row>
    <row r="42">
      <c r="A42" s="284"/>
      <c r="B42" s="294"/>
      <c r="C42" s="294"/>
      <c r="D42" s="294"/>
      <c r="E42" s="294"/>
      <c r="F42" s="294"/>
      <c r="G42" s="294"/>
      <c r="H42" s="294"/>
      <c r="I42" s="278"/>
      <c r="J42" s="278"/>
      <c r="K42" s="278"/>
      <c r="L42" s="278"/>
      <c r="M42" s="278"/>
      <c r="N42" s="278"/>
      <c r="O42" s="278"/>
      <c r="P42" s="278"/>
      <c r="Q42" s="278"/>
      <c r="R42" s="278"/>
    </row>
    <row r="43">
      <c r="A43" s="295" t="s">
        <v>498</v>
      </c>
      <c r="B43" s="291" t="str">
        <f t="shared" ref="B43:H43" si="11">B31+B41</f>
        <v>30,589,515</v>
      </c>
      <c r="C43" s="291" t="str">
        <f t="shared" si="11"/>
        <v>32,755,759</v>
      </c>
      <c r="D43" s="291" t="str">
        <f t="shared" si="11"/>
        <v>35,655,842</v>
      </c>
      <c r="E43" s="291" t="str">
        <f t="shared" si="11"/>
        <v>39,386,695</v>
      </c>
      <c r="F43" s="291" t="str">
        <f t="shared" si="11"/>
        <v>44,030,673</v>
      </c>
      <c r="G43" s="291" t="str">
        <f t="shared" si="11"/>
        <v>49,844,712</v>
      </c>
      <c r="H43" s="291" t="str">
        <f t="shared" si="11"/>
        <v>#REF!</v>
      </c>
      <c r="I43" s="278"/>
      <c r="J43" s="278"/>
      <c r="K43" s="278"/>
      <c r="L43" s="278"/>
      <c r="M43" s="278"/>
      <c r="N43" s="278"/>
      <c r="O43" s="278"/>
      <c r="P43" s="278"/>
      <c r="Q43" s="278"/>
      <c r="R43" s="278"/>
    </row>
    <row r="44">
      <c r="A44" s="284"/>
      <c r="B44" s="288"/>
      <c r="C44" s="288"/>
      <c r="D44" s="288"/>
      <c r="E44" s="288"/>
      <c r="F44" s="288"/>
      <c r="G44" s="288"/>
      <c r="H44" s="288"/>
      <c r="I44" s="278"/>
      <c r="J44" s="278"/>
      <c r="K44" s="278"/>
      <c r="L44" s="278"/>
      <c r="M44" s="278"/>
      <c r="N44" s="278"/>
      <c r="O44" s="278"/>
      <c r="P44" s="278"/>
      <c r="Q44" s="278"/>
      <c r="R44" s="278"/>
    </row>
    <row r="45">
      <c r="A45" s="300" t="s">
        <v>499</v>
      </c>
      <c r="B45" s="301"/>
      <c r="C45" s="301"/>
      <c r="D45" s="301"/>
      <c r="E45" s="301"/>
      <c r="F45" s="301"/>
      <c r="G45" s="301"/>
      <c r="H45" s="301"/>
      <c r="I45" s="278"/>
      <c r="J45" s="278"/>
      <c r="K45" s="278"/>
      <c r="L45" s="278"/>
      <c r="M45" s="278"/>
      <c r="N45" s="278"/>
      <c r="O45" s="278"/>
      <c r="P45" s="278"/>
      <c r="Q45" s="278"/>
      <c r="R45" s="278"/>
    </row>
    <row r="46">
      <c r="A46" s="302" t="s">
        <v>500</v>
      </c>
      <c r="B46" s="303" t="str">
        <f t="shared" ref="B46:H46" si="12">B43-B20</f>
        <v>0.00</v>
      </c>
      <c r="C46" s="303" t="str">
        <f t="shared" si="12"/>
        <v>0.00</v>
      </c>
      <c r="D46" s="303" t="str">
        <f t="shared" si="12"/>
        <v>0.00</v>
      </c>
      <c r="E46" s="303" t="str">
        <f t="shared" si="12"/>
        <v>0.00</v>
      </c>
      <c r="F46" s="303" t="str">
        <f t="shared" si="12"/>
        <v>0.00</v>
      </c>
      <c r="G46" s="303" t="str">
        <f t="shared" si="12"/>
        <v>0.00</v>
      </c>
      <c r="H46" s="303" t="str">
        <f t="shared" si="12"/>
        <v>#REF!</v>
      </c>
      <c r="I46" s="278"/>
      <c r="J46" s="278"/>
      <c r="K46" s="278"/>
      <c r="L46" s="278"/>
      <c r="M46" s="278"/>
      <c r="N46" s="278"/>
      <c r="O46" s="278"/>
      <c r="P46" s="278"/>
      <c r="Q46" s="278"/>
      <c r="R46" s="278"/>
    </row>
    <row r="47">
      <c r="A47" s="302"/>
      <c r="B47" s="303"/>
      <c r="C47" s="303"/>
      <c r="D47" s="303"/>
      <c r="E47" s="303"/>
      <c r="F47" s="303"/>
      <c r="G47" s="303"/>
      <c r="H47" s="303"/>
      <c r="I47" s="278"/>
      <c r="J47" s="278"/>
      <c r="K47" s="278"/>
      <c r="L47" s="278"/>
      <c r="M47" s="278"/>
      <c r="N47" s="278"/>
      <c r="O47" s="278"/>
      <c r="P47" s="278"/>
      <c r="Q47" s="278"/>
      <c r="R47" s="278"/>
    </row>
    <row r="48">
      <c r="A48" s="304"/>
      <c r="B48" s="305"/>
      <c r="C48" s="305"/>
      <c r="D48" s="305"/>
      <c r="E48" s="305"/>
      <c r="F48" s="305"/>
      <c r="G48" s="305"/>
      <c r="H48" s="305"/>
      <c r="I48" s="278"/>
      <c r="J48" s="278"/>
      <c r="K48" s="278"/>
      <c r="L48" s="278"/>
      <c r="M48" s="278"/>
      <c r="N48" s="278"/>
      <c r="O48" s="278"/>
      <c r="P48" s="278"/>
      <c r="Q48" s="278"/>
      <c r="R48" s="278"/>
    </row>
    <row r="49">
      <c r="A49" s="278"/>
      <c r="B49" s="306"/>
      <c r="C49" s="306"/>
      <c r="D49" s="306"/>
      <c r="E49" s="306"/>
      <c r="F49" s="306"/>
      <c r="G49" s="306"/>
      <c r="H49" s="306"/>
      <c r="I49" s="278"/>
      <c r="J49" s="278"/>
      <c r="K49" s="278"/>
      <c r="L49" s="278"/>
      <c r="M49" s="278"/>
      <c r="N49" s="278"/>
      <c r="O49" s="278"/>
      <c r="P49" s="278"/>
      <c r="Q49" s="278"/>
      <c r="R49" s="278"/>
    </row>
    <row r="50" ht="39.0" customHeight="1">
      <c r="A50" s="307" t="s">
        <v>501</v>
      </c>
      <c r="J50" s="278"/>
      <c r="K50" s="278"/>
      <c r="L50" s="278"/>
      <c r="M50" s="278"/>
      <c r="N50" s="278"/>
      <c r="O50" s="278"/>
      <c r="P50" s="278"/>
      <c r="Q50" s="278"/>
      <c r="R50" s="278"/>
    </row>
    <row r="51">
      <c r="A51" s="278"/>
      <c r="B51" s="278"/>
      <c r="C51" s="278"/>
      <c r="D51" s="278"/>
      <c r="E51" s="278"/>
      <c r="F51" s="278"/>
      <c r="G51" s="278"/>
      <c r="H51" s="278"/>
      <c r="I51" s="278"/>
      <c r="J51" s="278"/>
      <c r="K51" s="278"/>
      <c r="L51" s="278"/>
      <c r="M51" s="278"/>
      <c r="N51" s="278"/>
      <c r="O51" s="278"/>
      <c r="P51" s="278"/>
      <c r="Q51" s="278"/>
      <c r="R51" s="278"/>
    </row>
    <row r="52">
      <c r="A52" s="278"/>
      <c r="B52" s="278"/>
      <c r="C52" s="278"/>
      <c r="D52" s="278"/>
      <c r="E52" s="278"/>
      <c r="F52" s="278"/>
      <c r="G52" s="278"/>
      <c r="H52" s="278"/>
      <c r="I52" s="278"/>
      <c r="J52" s="278"/>
      <c r="K52" s="278"/>
      <c r="L52" s="278"/>
      <c r="M52" s="278"/>
      <c r="N52" s="278"/>
      <c r="O52" s="278"/>
      <c r="P52" s="278"/>
      <c r="Q52" s="278"/>
      <c r="R52" s="278"/>
    </row>
    <row r="53">
      <c r="A53" s="278"/>
      <c r="B53" s="278"/>
      <c r="C53" s="278"/>
      <c r="D53" s="278"/>
      <c r="E53" s="278"/>
      <c r="F53" s="278"/>
      <c r="G53" s="278"/>
      <c r="H53" s="278"/>
      <c r="I53" s="278"/>
      <c r="J53" s="278"/>
      <c r="K53" s="278"/>
      <c r="L53" s="278"/>
      <c r="M53" s="278"/>
      <c r="N53" s="278"/>
      <c r="O53" s="278"/>
      <c r="P53" s="278"/>
      <c r="Q53" s="278"/>
      <c r="R53" s="278"/>
    </row>
    <row r="54">
      <c r="A54" s="278"/>
      <c r="B54" s="278"/>
      <c r="C54" s="278"/>
      <c r="D54" s="278"/>
      <c r="E54" s="278"/>
      <c r="F54" s="278"/>
      <c r="G54" s="278"/>
      <c r="H54" s="278"/>
      <c r="I54" s="278"/>
      <c r="J54" s="278"/>
      <c r="K54" s="278"/>
      <c r="L54" s="278"/>
      <c r="M54" s="278"/>
      <c r="N54" s="278"/>
      <c r="O54" s="278"/>
      <c r="P54" s="278"/>
      <c r="Q54" s="278"/>
      <c r="R54" s="278"/>
    </row>
    <row r="55">
      <c r="A55" s="278"/>
      <c r="B55" s="278"/>
      <c r="C55" s="278"/>
      <c r="D55" s="278"/>
      <c r="E55" s="278"/>
      <c r="F55" s="278"/>
      <c r="G55" s="278"/>
      <c r="H55" s="278"/>
      <c r="I55" s="278"/>
      <c r="J55" s="278"/>
      <c r="K55" s="278"/>
      <c r="L55" s="278"/>
      <c r="M55" s="278"/>
      <c r="N55" s="278"/>
      <c r="O55" s="278"/>
      <c r="P55" s="278"/>
      <c r="Q55" s="278"/>
      <c r="R55" s="278"/>
    </row>
    <row r="56">
      <c r="A56" s="278"/>
      <c r="B56" s="278"/>
      <c r="C56" s="278"/>
      <c r="D56" s="278"/>
      <c r="E56" s="278"/>
      <c r="F56" s="278"/>
      <c r="G56" s="278"/>
      <c r="H56" s="278"/>
      <c r="I56" s="278"/>
      <c r="J56" s="278"/>
      <c r="K56" s="278"/>
      <c r="L56" s="278"/>
      <c r="M56" s="278"/>
      <c r="N56" s="278"/>
      <c r="O56" s="278"/>
      <c r="P56" s="278"/>
      <c r="Q56" s="278"/>
      <c r="R56" s="278"/>
    </row>
    <row r="57">
      <c r="A57" s="278"/>
      <c r="B57" s="278"/>
      <c r="C57" s="278"/>
      <c r="D57" s="278"/>
      <c r="E57" s="278"/>
      <c r="F57" s="278"/>
      <c r="G57" s="278"/>
      <c r="H57" s="278"/>
      <c r="I57" s="278"/>
      <c r="J57" s="278"/>
      <c r="K57" s="278"/>
      <c r="L57" s="278"/>
      <c r="M57" s="278"/>
      <c r="N57" s="278"/>
      <c r="O57" s="278"/>
      <c r="P57" s="278"/>
      <c r="Q57" s="278"/>
      <c r="R57" s="278"/>
    </row>
    <row r="58">
      <c r="A58" s="278"/>
      <c r="B58" s="278"/>
      <c r="C58" s="278"/>
      <c r="D58" s="278"/>
      <c r="E58" s="278"/>
      <c r="F58" s="278"/>
      <c r="G58" s="278"/>
      <c r="H58" s="278"/>
      <c r="I58" s="278"/>
      <c r="J58" s="278"/>
      <c r="K58" s="278"/>
      <c r="L58" s="278"/>
      <c r="M58" s="278"/>
      <c r="N58" s="278"/>
      <c r="O58" s="278"/>
      <c r="P58" s="278"/>
      <c r="Q58" s="278"/>
      <c r="R58" s="278"/>
    </row>
    <row r="59">
      <c r="A59" s="278"/>
      <c r="B59" s="278"/>
      <c r="C59" s="278"/>
      <c r="D59" s="278"/>
      <c r="E59" s="278"/>
      <c r="F59" s="278"/>
      <c r="G59" s="278"/>
      <c r="H59" s="278"/>
      <c r="I59" s="278"/>
      <c r="J59" s="278"/>
      <c r="K59" s="278"/>
      <c r="L59" s="278"/>
      <c r="M59" s="278"/>
      <c r="N59" s="278"/>
      <c r="O59" s="278"/>
      <c r="P59" s="278"/>
      <c r="Q59" s="278"/>
      <c r="R59" s="278"/>
    </row>
    <row r="60">
      <c r="A60" s="278"/>
      <c r="B60" s="278"/>
      <c r="C60" s="278"/>
      <c r="D60" s="278"/>
      <c r="E60" s="278"/>
      <c r="F60" s="278"/>
      <c r="G60" s="278"/>
      <c r="H60" s="278"/>
      <c r="I60" s="278"/>
      <c r="J60" s="278"/>
      <c r="K60" s="278"/>
      <c r="L60" s="278"/>
      <c r="M60" s="278"/>
      <c r="N60" s="278"/>
      <c r="O60" s="278"/>
      <c r="P60" s="278"/>
      <c r="Q60" s="278"/>
      <c r="R60" s="278"/>
    </row>
    <row r="61">
      <c r="A61" s="278"/>
      <c r="B61" s="278"/>
      <c r="C61" s="278"/>
      <c r="D61" s="278"/>
      <c r="E61" s="278"/>
      <c r="F61" s="278"/>
      <c r="G61" s="278"/>
      <c r="H61" s="278"/>
      <c r="I61" s="278"/>
      <c r="J61" s="278"/>
      <c r="K61" s="278"/>
      <c r="L61" s="278"/>
      <c r="M61" s="278"/>
      <c r="N61" s="278"/>
      <c r="O61" s="278"/>
      <c r="P61" s="278"/>
      <c r="Q61" s="278"/>
      <c r="R61" s="278"/>
    </row>
    <row r="62">
      <c r="A62" s="278"/>
      <c r="B62" s="278"/>
      <c r="C62" s="278"/>
      <c r="D62" s="278"/>
      <c r="E62" s="278"/>
      <c r="F62" s="278"/>
      <c r="G62" s="278"/>
      <c r="H62" s="278"/>
      <c r="I62" s="278"/>
      <c r="J62" s="278"/>
      <c r="K62" s="278"/>
      <c r="L62" s="278"/>
      <c r="M62" s="278"/>
      <c r="N62" s="278"/>
      <c r="O62" s="278"/>
      <c r="P62" s="278"/>
      <c r="Q62" s="278"/>
      <c r="R62" s="278"/>
    </row>
    <row r="63">
      <c r="A63" s="278"/>
      <c r="B63" s="278"/>
      <c r="C63" s="278"/>
      <c r="D63" s="278"/>
      <c r="E63" s="278"/>
      <c r="F63" s="278"/>
      <c r="G63" s="278"/>
      <c r="H63" s="278"/>
      <c r="I63" s="278"/>
      <c r="J63" s="278"/>
      <c r="K63" s="278"/>
      <c r="L63" s="278"/>
      <c r="M63" s="278"/>
      <c r="N63" s="278"/>
      <c r="O63" s="278"/>
      <c r="P63" s="278"/>
      <c r="Q63" s="278"/>
      <c r="R63" s="278"/>
    </row>
    <row r="64">
      <c r="A64" s="278"/>
      <c r="B64" s="278"/>
      <c r="C64" s="278"/>
      <c r="D64" s="278"/>
      <c r="E64" s="278"/>
      <c r="F64" s="278"/>
      <c r="G64" s="278"/>
      <c r="H64" s="278"/>
      <c r="I64" s="278"/>
      <c r="J64" s="278"/>
      <c r="K64" s="278"/>
      <c r="L64" s="278"/>
      <c r="M64" s="278"/>
      <c r="N64" s="278"/>
      <c r="O64" s="278"/>
      <c r="P64" s="278"/>
      <c r="Q64" s="278"/>
      <c r="R64" s="278"/>
    </row>
    <row r="65">
      <c r="A65" s="278"/>
      <c r="B65" s="278"/>
      <c r="C65" s="278"/>
      <c r="D65" s="278"/>
      <c r="E65" s="278"/>
      <c r="F65" s="278"/>
      <c r="G65" s="278"/>
      <c r="H65" s="278"/>
      <c r="I65" s="278"/>
      <c r="J65" s="278"/>
      <c r="K65" s="278"/>
      <c r="L65" s="278"/>
      <c r="M65" s="278"/>
      <c r="N65" s="278"/>
      <c r="O65" s="278"/>
      <c r="P65" s="278"/>
      <c r="Q65" s="278"/>
      <c r="R65" s="278"/>
    </row>
    <row r="66">
      <c r="A66" s="278"/>
      <c r="B66" s="278"/>
      <c r="C66" s="278"/>
      <c r="D66" s="278"/>
      <c r="E66" s="278"/>
      <c r="F66" s="278"/>
      <c r="G66" s="278"/>
      <c r="H66" s="278"/>
      <c r="I66" s="278"/>
      <c r="J66" s="278"/>
      <c r="K66" s="278"/>
      <c r="L66" s="278"/>
      <c r="M66" s="278"/>
      <c r="N66" s="278"/>
      <c r="O66" s="278"/>
      <c r="P66" s="278"/>
      <c r="Q66" s="278"/>
      <c r="R66" s="278"/>
    </row>
    <row r="67">
      <c r="A67" s="278"/>
      <c r="B67" s="278"/>
      <c r="C67" s="278"/>
      <c r="D67" s="278"/>
      <c r="E67" s="278"/>
      <c r="F67" s="278"/>
      <c r="G67" s="278"/>
      <c r="H67" s="278"/>
      <c r="I67" s="278"/>
      <c r="J67" s="278"/>
      <c r="K67" s="278"/>
      <c r="L67" s="278"/>
      <c r="M67" s="278"/>
      <c r="N67" s="278"/>
      <c r="O67" s="278"/>
      <c r="P67" s="278"/>
      <c r="Q67" s="278"/>
      <c r="R67" s="278"/>
    </row>
    <row r="68">
      <c r="A68" s="278"/>
      <c r="B68" s="278"/>
      <c r="C68" s="278"/>
      <c r="D68" s="278"/>
      <c r="E68" s="278"/>
      <c r="F68" s="278"/>
      <c r="G68" s="278"/>
      <c r="H68" s="278"/>
      <c r="I68" s="278"/>
      <c r="J68" s="278"/>
      <c r="K68" s="278"/>
      <c r="L68" s="278"/>
      <c r="M68" s="278"/>
      <c r="N68" s="278"/>
      <c r="O68" s="278"/>
      <c r="P68" s="278"/>
      <c r="Q68" s="278"/>
      <c r="R68" s="278"/>
    </row>
    <row r="69">
      <c r="A69" s="278"/>
      <c r="B69" s="278"/>
      <c r="C69" s="278"/>
      <c r="D69" s="278"/>
      <c r="E69" s="278"/>
      <c r="F69" s="278"/>
      <c r="G69" s="278"/>
      <c r="H69" s="278"/>
      <c r="I69" s="278"/>
      <c r="J69" s="278"/>
      <c r="K69" s="278"/>
      <c r="L69" s="278"/>
      <c r="M69" s="278"/>
      <c r="N69" s="278"/>
      <c r="O69" s="278"/>
      <c r="P69" s="278"/>
      <c r="Q69" s="278"/>
      <c r="R69" s="278"/>
    </row>
    <row r="70">
      <c r="A70" s="278"/>
      <c r="B70" s="278"/>
      <c r="C70" s="278"/>
      <c r="D70" s="278"/>
      <c r="E70" s="278"/>
      <c r="F70" s="278"/>
      <c r="G70" s="278"/>
      <c r="H70" s="278"/>
      <c r="I70" s="278"/>
      <c r="J70" s="278"/>
      <c r="K70" s="278"/>
      <c r="L70" s="278"/>
      <c r="M70" s="278"/>
      <c r="N70" s="278"/>
      <c r="O70" s="278"/>
      <c r="P70" s="278"/>
      <c r="Q70" s="278"/>
      <c r="R70" s="278"/>
    </row>
    <row r="71">
      <c r="A71" s="278"/>
      <c r="B71" s="278"/>
      <c r="C71" s="278"/>
      <c r="D71" s="278"/>
      <c r="E71" s="278"/>
      <c r="F71" s="278"/>
      <c r="G71" s="278"/>
      <c r="H71" s="278"/>
      <c r="I71" s="278"/>
      <c r="J71" s="278"/>
      <c r="K71" s="278"/>
      <c r="L71" s="278"/>
      <c r="M71" s="278"/>
      <c r="N71" s="278"/>
      <c r="O71" s="278"/>
      <c r="P71" s="278"/>
      <c r="Q71" s="278"/>
      <c r="R71" s="278"/>
    </row>
    <row r="72">
      <c r="A72" s="278"/>
      <c r="B72" s="278"/>
      <c r="C72" s="278"/>
      <c r="D72" s="278"/>
      <c r="E72" s="278"/>
      <c r="F72" s="278"/>
      <c r="G72" s="278"/>
      <c r="H72" s="278"/>
      <c r="I72" s="278"/>
      <c r="J72" s="278"/>
      <c r="K72" s="278"/>
      <c r="L72" s="278"/>
      <c r="M72" s="278"/>
      <c r="N72" s="278"/>
      <c r="O72" s="278"/>
      <c r="P72" s="278"/>
      <c r="Q72" s="278"/>
      <c r="R72" s="278"/>
    </row>
    <row r="73">
      <c r="A73" s="278"/>
      <c r="B73" s="278"/>
      <c r="C73" s="278"/>
      <c r="D73" s="278"/>
      <c r="E73" s="278"/>
      <c r="F73" s="278"/>
      <c r="G73" s="278"/>
      <c r="H73" s="278"/>
      <c r="I73" s="278"/>
      <c r="J73" s="278"/>
      <c r="K73" s="278"/>
      <c r="L73" s="278"/>
      <c r="M73" s="278"/>
      <c r="N73" s="278"/>
      <c r="O73" s="278"/>
      <c r="P73" s="278"/>
      <c r="Q73" s="278"/>
      <c r="R73" s="278"/>
    </row>
    <row r="74">
      <c r="A74" s="278"/>
      <c r="B74" s="278"/>
      <c r="C74" s="278"/>
      <c r="D74" s="278"/>
      <c r="E74" s="278"/>
      <c r="F74" s="278"/>
      <c r="G74" s="278"/>
      <c r="H74" s="278"/>
      <c r="I74" s="278"/>
      <c r="J74" s="278"/>
      <c r="K74" s="278"/>
      <c r="L74" s="278"/>
      <c r="M74" s="278"/>
      <c r="N74" s="278"/>
      <c r="O74" s="278"/>
      <c r="P74" s="278"/>
      <c r="Q74" s="278"/>
      <c r="R74" s="278"/>
    </row>
    <row r="75">
      <c r="A75" s="278"/>
      <c r="B75" s="278"/>
      <c r="C75" s="278"/>
      <c r="D75" s="278"/>
      <c r="E75" s="278"/>
      <c r="F75" s="278"/>
      <c r="G75" s="278"/>
      <c r="H75" s="278"/>
      <c r="I75" s="278"/>
      <c r="J75" s="278"/>
      <c r="K75" s="278"/>
      <c r="L75" s="278"/>
      <c r="M75" s="278"/>
      <c r="N75" s="278"/>
      <c r="O75" s="278"/>
      <c r="P75" s="278"/>
      <c r="Q75" s="278"/>
      <c r="R75" s="278"/>
    </row>
    <row r="76">
      <c r="A76" s="278"/>
      <c r="B76" s="278"/>
      <c r="C76" s="278"/>
      <c r="D76" s="278"/>
      <c r="E76" s="278"/>
      <c r="F76" s="278"/>
      <c r="G76" s="278"/>
      <c r="H76" s="278"/>
      <c r="I76" s="278"/>
      <c r="J76" s="278"/>
      <c r="K76" s="278"/>
      <c r="L76" s="278"/>
      <c r="M76" s="278"/>
      <c r="N76" s="278"/>
      <c r="O76" s="278"/>
      <c r="P76" s="278"/>
      <c r="Q76" s="278"/>
      <c r="R76" s="278"/>
    </row>
    <row r="77">
      <c r="A77" s="278"/>
      <c r="B77" s="278"/>
      <c r="C77" s="278"/>
      <c r="D77" s="278"/>
      <c r="E77" s="278"/>
      <c r="F77" s="278"/>
      <c r="G77" s="278"/>
      <c r="H77" s="278"/>
      <c r="I77" s="278"/>
      <c r="J77" s="278"/>
      <c r="K77" s="278"/>
      <c r="L77" s="278"/>
      <c r="M77" s="278"/>
      <c r="N77" s="278"/>
      <c r="O77" s="278"/>
      <c r="P77" s="278"/>
      <c r="Q77" s="278"/>
      <c r="R77" s="278"/>
    </row>
    <row r="78">
      <c r="A78" s="278"/>
      <c r="B78" s="278"/>
      <c r="C78" s="278"/>
      <c r="D78" s="278"/>
      <c r="E78" s="278"/>
      <c r="F78" s="278"/>
      <c r="G78" s="278"/>
      <c r="H78" s="278"/>
      <c r="I78" s="278"/>
      <c r="J78" s="278"/>
      <c r="K78" s="278"/>
      <c r="L78" s="278"/>
      <c r="M78" s="278"/>
      <c r="N78" s="278"/>
      <c r="O78" s="278"/>
      <c r="P78" s="278"/>
      <c r="Q78" s="278"/>
      <c r="R78" s="278"/>
    </row>
    <row r="79">
      <c r="A79" s="278"/>
      <c r="B79" s="278"/>
      <c r="C79" s="278"/>
      <c r="D79" s="278"/>
      <c r="E79" s="278"/>
      <c r="F79" s="278"/>
      <c r="G79" s="278"/>
      <c r="H79" s="278"/>
      <c r="I79" s="278"/>
      <c r="J79" s="278"/>
      <c r="K79" s="278"/>
      <c r="L79" s="278"/>
      <c r="M79" s="278"/>
      <c r="N79" s="278"/>
      <c r="O79" s="278"/>
      <c r="P79" s="278"/>
      <c r="Q79" s="278"/>
      <c r="R79" s="278"/>
    </row>
    <row r="80">
      <c r="A80" s="278"/>
      <c r="B80" s="278"/>
      <c r="C80" s="278"/>
      <c r="D80" s="278"/>
      <c r="E80" s="278"/>
      <c r="F80" s="278"/>
      <c r="G80" s="278"/>
      <c r="H80" s="278"/>
      <c r="I80" s="278"/>
      <c r="J80" s="278"/>
      <c r="K80" s="278"/>
      <c r="L80" s="278"/>
      <c r="M80" s="278"/>
      <c r="N80" s="278"/>
      <c r="O80" s="278"/>
      <c r="P80" s="278"/>
      <c r="Q80" s="278"/>
      <c r="R80" s="278"/>
    </row>
    <row r="81">
      <c r="A81" s="278"/>
      <c r="B81" s="278"/>
      <c r="C81" s="278"/>
      <c r="D81" s="278"/>
      <c r="E81" s="278"/>
      <c r="F81" s="278"/>
      <c r="G81" s="278"/>
      <c r="H81" s="278"/>
      <c r="I81" s="278"/>
      <c r="J81" s="278"/>
      <c r="K81" s="278"/>
      <c r="L81" s="278"/>
      <c r="M81" s="278"/>
      <c r="N81" s="278"/>
      <c r="O81" s="278"/>
      <c r="P81" s="278"/>
      <c r="Q81" s="278"/>
      <c r="R81" s="278"/>
    </row>
    <row r="82">
      <c r="A82" s="278"/>
      <c r="B82" s="278"/>
      <c r="C82" s="278"/>
      <c r="D82" s="278"/>
      <c r="E82" s="278"/>
      <c r="F82" s="278"/>
      <c r="G82" s="278"/>
      <c r="H82" s="278"/>
      <c r="I82" s="278"/>
      <c r="J82" s="278"/>
      <c r="K82" s="278"/>
      <c r="L82" s="278"/>
      <c r="M82" s="278"/>
      <c r="N82" s="278"/>
      <c r="O82" s="278"/>
      <c r="P82" s="278"/>
      <c r="Q82" s="278"/>
      <c r="R82" s="278"/>
    </row>
    <row r="83">
      <c r="A83" s="278"/>
      <c r="B83" s="278"/>
      <c r="C83" s="278"/>
      <c r="D83" s="278"/>
      <c r="E83" s="278"/>
      <c r="F83" s="278"/>
      <c r="G83" s="278"/>
      <c r="H83" s="278"/>
      <c r="I83" s="278"/>
      <c r="J83" s="278"/>
      <c r="K83" s="278"/>
      <c r="L83" s="278"/>
      <c r="M83" s="278"/>
      <c r="N83" s="278"/>
      <c r="O83" s="278"/>
      <c r="P83" s="278"/>
      <c r="Q83" s="278"/>
      <c r="R83" s="278"/>
    </row>
    <row r="84">
      <c r="A84" s="278"/>
      <c r="B84" s="278"/>
      <c r="C84" s="278"/>
      <c r="D84" s="278"/>
      <c r="E84" s="278"/>
      <c r="F84" s="278"/>
      <c r="G84" s="278"/>
      <c r="H84" s="278"/>
      <c r="I84" s="278"/>
      <c r="J84" s="278"/>
      <c r="K84" s="278"/>
      <c r="L84" s="278"/>
      <c r="M84" s="278"/>
      <c r="N84" s="278"/>
      <c r="O84" s="278"/>
      <c r="P84" s="278"/>
      <c r="Q84" s="278"/>
      <c r="R84" s="278"/>
    </row>
    <row r="85">
      <c r="A85" s="278"/>
      <c r="B85" s="278"/>
      <c r="C85" s="278"/>
      <c r="D85" s="278"/>
      <c r="E85" s="278"/>
      <c r="F85" s="278"/>
      <c r="G85" s="278"/>
      <c r="H85" s="278"/>
      <c r="I85" s="278"/>
      <c r="J85" s="278"/>
      <c r="K85" s="278"/>
      <c r="L85" s="278"/>
      <c r="M85" s="278"/>
      <c r="N85" s="278"/>
      <c r="O85" s="278"/>
      <c r="P85" s="278"/>
      <c r="Q85" s="278"/>
      <c r="R85" s="278"/>
    </row>
    <row r="86">
      <c r="A86" s="278"/>
      <c r="B86" s="278"/>
      <c r="C86" s="278"/>
      <c r="D86" s="278"/>
      <c r="E86" s="278"/>
      <c r="F86" s="278"/>
      <c r="G86" s="278"/>
      <c r="H86" s="278"/>
      <c r="I86" s="278"/>
      <c r="J86" s="278"/>
      <c r="K86" s="278"/>
      <c r="L86" s="278"/>
      <c r="M86" s="278"/>
      <c r="N86" s="278"/>
      <c r="O86" s="278"/>
      <c r="P86" s="278"/>
      <c r="Q86" s="278"/>
      <c r="R86" s="278"/>
    </row>
    <row r="87">
      <c r="A87" s="278"/>
      <c r="B87" s="278"/>
      <c r="C87" s="278"/>
      <c r="D87" s="278"/>
      <c r="E87" s="278"/>
      <c r="F87" s="278"/>
      <c r="G87" s="278"/>
      <c r="H87" s="278"/>
      <c r="I87" s="278"/>
      <c r="J87" s="278"/>
      <c r="K87" s="278"/>
      <c r="L87" s="278"/>
      <c r="M87" s="278"/>
      <c r="N87" s="278"/>
      <c r="O87" s="278"/>
      <c r="P87" s="278"/>
      <c r="Q87" s="278"/>
      <c r="R87" s="278"/>
    </row>
    <row r="88">
      <c r="A88" s="278"/>
      <c r="B88" s="278"/>
      <c r="C88" s="278"/>
      <c r="D88" s="278"/>
      <c r="E88" s="278"/>
      <c r="F88" s="278"/>
      <c r="G88" s="278"/>
      <c r="H88" s="278"/>
      <c r="I88" s="278"/>
      <c r="J88" s="278"/>
      <c r="K88" s="278"/>
      <c r="L88" s="278"/>
      <c r="M88" s="278"/>
      <c r="N88" s="278"/>
      <c r="O88" s="278"/>
      <c r="P88" s="278"/>
      <c r="Q88" s="278"/>
      <c r="R88" s="278"/>
    </row>
    <row r="89">
      <c r="A89" s="278"/>
      <c r="B89" s="278"/>
      <c r="C89" s="278"/>
      <c r="D89" s="278"/>
      <c r="E89" s="278"/>
      <c r="F89" s="278"/>
      <c r="G89" s="278"/>
      <c r="H89" s="278"/>
      <c r="I89" s="278"/>
      <c r="J89" s="278"/>
      <c r="K89" s="278"/>
      <c r="L89" s="278"/>
      <c r="M89" s="278"/>
      <c r="N89" s="278"/>
      <c r="O89" s="278"/>
      <c r="P89" s="278"/>
      <c r="Q89" s="278"/>
      <c r="R89" s="278"/>
    </row>
    <row r="90">
      <c r="A90" s="278"/>
      <c r="B90" s="278"/>
      <c r="C90" s="278"/>
      <c r="D90" s="278"/>
      <c r="E90" s="278"/>
      <c r="F90" s="278"/>
      <c r="G90" s="278"/>
      <c r="H90" s="278"/>
      <c r="I90" s="278"/>
      <c r="J90" s="278"/>
      <c r="K90" s="278"/>
      <c r="L90" s="278"/>
      <c r="M90" s="278"/>
      <c r="N90" s="278"/>
      <c r="O90" s="278"/>
      <c r="P90" s="278"/>
      <c r="Q90" s="278"/>
      <c r="R90" s="278"/>
    </row>
    <row r="91">
      <c r="A91" s="278"/>
      <c r="B91" s="278"/>
      <c r="C91" s="278"/>
      <c r="D91" s="278"/>
      <c r="E91" s="278"/>
      <c r="F91" s="278"/>
      <c r="G91" s="278"/>
      <c r="H91" s="278"/>
      <c r="I91" s="278"/>
      <c r="J91" s="278"/>
      <c r="K91" s="278"/>
      <c r="L91" s="278"/>
      <c r="M91" s="278"/>
      <c r="N91" s="278"/>
      <c r="O91" s="278"/>
      <c r="P91" s="278"/>
      <c r="Q91" s="278"/>
      <c r="R91" s="278"/>
    </row>
    <row r="92">
      <c r="A92" s="278"/>
      <c r="B92" s="278"/>
      <c r="C92" s="278"/>
      <c r="D92" s="278"/>
      <c r="E92" s="278"/>
      <c r="F92" s="278"/>
      <c r="G92" s="278"/>
      <c r="H92" s="278"/>
      <c r="I92" s="278"/>
      <c r="J92" s="278"/>
      <c r="K92" s="278"/>
      <c r="L92" s="278"/>
      <c r="M92" s="278"/>
      <c r="N92" s="278"/>
      <c r="O92" s="278"/>
      <c r="P92" s="278"/>
      <c r="Q92" s="278"/>
      <c r="R92" s="278"/>
    </row>
    <row r="93">
      <c r="A93" s="278"/>
      <c r="B93" s="278"/>
      <c r="C93" s="278"/>
      <c r="D93" s="278"/>
      <c r="E93" s="278"/>
      <c r="F93" s="278"/>
      <c r="G93" s="278"/>
      <c r="H93" s="278"/>
      <c r="I93" s="278"/>
      <c r="J93" s="278"/>
      <c r="K93" s="278"/>
      <c r="L93" s="278"/>
      <c r="M93" s="278"/>
      <c r="N93" s="278"/>
      <c r="O93" s="278"/>
      <c r="P93" s="278"/>
      <c r="Q93" s="278"/>
      <c r="R93" s="278"/>
    </row>
    <row r="94">
      <c r="A94" s="278"/>
      <c r="B94" s="278"/>
      <c r="C94" s="278"/>
      <c r="D94" s="278"/>
      <c r="E94" s="278"/>
      <c r="F94" s="278"/>
      <c r="G94" s="278"/>
      <c r="H94" s="278"/>
      <c r="I94" s="278"/>
      <c r="J94" s="278"/>
      <c r="K94" s="278"/>
      <c r="L94" s="278"/>
      <c r="M94" s="278"/>
      <c r="N94" s="278"/>
      <c r="O94" s="278"/>
      <c r="P94" s="278"/>
      <c r="Q94" s="278"/>
      <c r="R94" s="278"/>
    </row>
    <row r="95">
      <c r="A95" s="278"/>
      <c r="B95" s="278"/>
      <c r="C95" s="278"/>
      <c r="D95" s="278"/>
      <c r="E95" s="278"/>
      <c r="F95" s="278"/>
      <c r="G95" s="278"/>
      <c r="H95" s="278"/>
      <c r="I95" s="278"/>
      <c r="J95" s="278"/>
      <c r="K95" s="278"/>
      <c r="L95" s="278"/>
      <c r="M95" s="278"/>
      <c r="N95" s="278"/>
      <c r="O95" s="278"/>
      <c r="P95" s="278"/>
      <c r="Q95" s="278"/>
      <c r="R95" s="278"/>
    </row>
    <row r="96">
      <c r="A96" s="278"/>
      <c r="B96" s="278"/>
      <c r="C96" s="278"/>
      <c r="D96" s="278"/>
      <c r="E96" s="278"/>
      <c r="F96" s="278"/>
      <c r="G96" s="278"/>
      <c r="H96" s="278"/>
      <c r="I96" s="278"/>
      <c r="J96" s="278"/>
      <c r="K96" s="278"/>
      <c r="L96" s="278"/>
      <c r="M96" s="278"/>
      <c r="N96" s="278"/>
      <c r="O96" s="278"/>
      <c r="P96" s="278"/>
      <c r="Q96" s="278"/>
      <c r="R96" s="278"/>
    </row>
    <row r="97">
      <c r="A97" s="278"/>
      <c r="B97" s="278"/>
      <c r="C97" s="278"/>
      <c r="D97" s="278"/>
      <c r="E97" s="278"/>
      <c r="F97" s="278"/>
      <c r="G97" s="278"/>
      <c r="H97" s="278"/>
      <c r="I97" s="278"/>
      <c r="J97" s="278"/>
      <c r="K97" s="278"/>
      <c r="L97" s="278"/>
      <c r="M97" s="278"/>
      <c r="N97" s="278"/>
      <c r="O97" s="278"/>
      <c r="P97" s="278"/>
      <c r="Q97" s="278"/>
      <c r="R97" s="278"/>
    </row>
    <row r="98">
      <c r="A98" s="278"/>
      <c r="B98" s="278"/>
      <c r="C98" s="278"/>
      <c r="D98" s="278"/>
      <c r="E98" s="278"/>
      <c r="F98" s="278"/>
      <c r="G98" s="278"/>
      <c r="H98" s="278"/>
      <c r="I98" s="278"/>
      <c r="J98" s="278"/>
      <c r="K98" s="278"/>
      <c r="L98" s="278"/>
      <c r="M98" s="278"/>
      <c r="N98" s="278"/>
      <c r="O98" s="278"/>
      <c r="P98" s="278"/>
      <c r="Q98" s="278"/>
      <c r="R98" s="278"/>
    </row>
    <row r="99">
      <c r="A99" s="278"/>
      <c r="B99" s="278"/>
      <c r="C99" s="278"/>
      <c r="D99" s="278"/>
      <c r="E99" s="278"/>
      <c r="F99" s="278"/>
      <c r="G99" s="278"/>
      <c r="H99" s="278"/>
      <c r="I99" s="278"/>
      <c r="J99" s="278"/>
      <c r="K99" s="278"/>
      <c r="L99" s="278"/>
      <c r="M99" s="278"/>
      <c r="N99" s="278"/>
      <c r="O99" s="278"/>
      <c r="P99" s="278"/>
      <c r="Q99" s="278"/>
      <c r="R99" s="278"/>
    </row>
    <row r="100">
      <c r="A100" s="278"/>
      <c r="B100" s="278"/>
      <c r="C100" s="278"/>
      <c r="D100" s="278"/>
      <c r="E100" s="278"/>
      <c r="F100" s="278"/>
      <c r="G100" s="278"/>
      <c r="H100" s="278"/>
      <c r="I100" s="278"/>
      <c r="J100" s="278"/>
      <c r="K100" s="278"/>
      <c r="L100" s="278"/>
      <c r="M100" s="278"/>
      <c r="N100" s="278"/>
      <c r="O100" s="278"/>
      <c r="P100" s="278"/>
      <c r="Q100" s="278"/>
      <c r="R100" s="278"/>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7"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20</vt:i4>
      </vt:variant>
      <vt:variant>
        <vt:lpstr>Named Ranges</vt:lpstr>
      </vt:variant>
      <vt:variant>
        <vt:i4>17</vt:i4>
      </vt:variant>
    </vt:vector>
  </HeadingPairs>
  <TitlesOfParts>
    <vt:vector baseType="lpstr" size="37">
      <vt:lpstr>Note for users</vt:lpstr>
      <vt:lpstr>1.Project Cost and MOF</vt:lpstr>
      <vt:lpstr>9. Financial indiacators</vt:lpstr>
      <vt:lpstr>2.Capex Details</vt:lpstr>
      <vt:lpstr>3.Other Exp &amp; Taxes</vt:lpstr>
      <vt:lpstr>4.TL repayment sch</vt:lpstr>
      <vt:lpstr>5.Closing Stock &amp; W Capital</vt:lpstr>
      <vt:lpstr>6.Cons Profit &amp; Loss</vt:lpstr>
      <vt:lpstr>7.Balance Sheet</vt:lpstr>
      <vt:lpstr>8.Cash Flow</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Sheet1</vt:lpstr>
      <vt:lpstr>Sheet2</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lication>Microsoft Excel</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2023-02-04T08:05:12Z</dcterms:modified>
</cp:coreProperties>
</file>